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ffire\Desktop\webpage files 06042019\"/>
    </mc:Choice>
  </mc:AlternateContent>
  <workbookProtection workbookAlgorithmName="SHA-512" workbookHashValue="aod4T2UfSag23AXZW5m7peR56rFNsl2iZUTblcgWFujEKSYVrAfJ6c9yrDwOrwpSB/xVuJjVQIOkNxtKEc8YRg==" workbookSaltValue="VWUVmijiy0X+zB0DnVNexw==" workbookSpinCount="100000" lockStructure="1"/>
  <bookViews>
    <workbookView xWindow="0" yWindow="0" windowWidth="28800" windowHeight="14100" tabRatio="943"/>
  </bookViews>
  <sheets>
    <sheet name="Promotion Board Budget" sheetId="13" r:id="rId1"/>
    <sheet name="Lead PI Station Maint Budget" sheetId="5" r:id="rId2"/>
    <sheet name="Co-PI #1 Station Maint Budget" sheetId="25" r:id="rId3"/>
    <sheet name="Co-PI #2 Station Maint Budget" sheetId="26" r:id="rId4"/>
    <sheet name="Co-PI #3 Station Maint Budget" sheetId="29" r:id="rId5"/>
    <sheet name="Fee Schedule" sheetId="6" r:id="rId6"/>
    <sheet name="Revision History" sheetId="23" state="hidden" r:id="rId7"/>
    <sheet name="Lookup Lists" sheetId="2" state="hidden" r:id="rId8"/>
    <sheet name="PI List" sheetId="4" state="hidden" r:id="rId9"/>
    <sheet name="CES Scientists" sheetId="24" state="hidden" r:id="rId10"/>
    <sheet name="Departments" sheetId="3" state="hidden" r:id="rId11"/>
  </sheets>
  <externalReferences>
    <externalReference r:id="rId12"/>
  </externalReferences>
  <definedNames>
    <definedName name="_xlnm._FilterDatabase" localSheetId="9" hidden="1">'CES Scientists'!$A$1:$D$28</definedName>
    <definedName name="_xlnm._FilterDatabase" localSheetId="10" hidden="1">Departments!$A$1:$D$43</definedName>
    <definedName name="_xlnm._FilterDatabase" localSheetId="8" hidden="1">'CES Scientists'!$A$1:$D$28</definedName>
    <definedName name="Commodity_Board">'Lookup Lists'!$C$2:$C$8</definedName>
    <definedName name="Commodity_Item" localSheetId="2">Table1[#Headers]</definedName>
    <definedName name="Commodity_Item" localSheetId="3">Table1[#Headers]</definedName>
    <definedName name="Commodity_Item" localSheetId="4">Table1[#Headers]</definedName>
    <definedName name="Commodity_Item">Table1[#Headers]</definedName>
    <definedName name="Crops">'Lookup Lists'!$A$2:$A$8</definedName>
    <definedName name="Dept_Name">Departments!$A$2:$B$43</definedName>
    <definedName name="Expense_Item" localSheetId="2">Table1[[#Headers],[#Data],[Expense]]</definedName>
    <definedName name="Expense_Item" localSheetId="3">Table1[[#Headers],[#Data],[Expense]]</definedName>
    <definedName name="Expense_Item" localSheetId="4">Table1[[#Headers],[#Data],[Expense]]</definedName>
    <definedName name="Expense_Item">Table1[[#Headers],[#Data],[Expense]]</definedName>
    <definedName name="Fee_Schedule" localSheetId="2">Table1[[#Headers],[#Data]]</definedName>
    <definedName name="Fee_Schedule" localSheetId="3">Table1[[#Headers],[#Data]]</definedName>
    <definedName name="Fee_Schedule" localSheetId="4">Table1[[#Headers],[#Data]]</definedName>
    <definedName name="Fee_Schedule">Table1[[#Headers],[#Data]]</definedName>
    <definedName name="Fixed_Rate_Commodity" localSheetId="2">Table1[#Headers]</definedName>
    <definedName name="Fixed_Rate_Commodity" localSheetId="3">Table1[#Headers]</definedName>
    <definedName name="Fixed_Rate_Commodity" localSheetId="4">Table1[#Headers]</definedName>
    <definedName name="Fixed_Rate_Commodity">Table1[#Headers]</definedName>
    <definedName name="Fixed_Rate_Expense">'Fee Schedule'!$A$3:$A$20</definedName>
    <definedName name="Fixed_Rate_Optional" localSheetId="2">Table1[[#Headers],[#Data]]</definedName>
    <definedName name="Fixed_Rate_Optional" localSheetId="3">Table1[[#Headers],[#Data]]</definedName>
    <definedName name="Fixed_Rate_Optional" localSheetId="4">Table1[[#Headers],[#Data]]</definedName>
    <definedName name="Fixed_Rate_Optional">Table1[[#Headers],[#Data]]</definedName>
    <definedName name="GH_GC_Facilities" localSheetId="2">'Lookup Lists'!#REF!</definedName>
    <definedName name="GH_GC_Facilities" localSheetId="3">'Lookup Lists'!#REF!</definedName>
    <definedName name="GH_GC_Facilities" localSheetId="4">'Lookup Lists'!#REF!</definedName>
    <definedName name="GH_GC_Facilities">'Lookup Lists'!#REF!</definedName>
    <definedName name="Grants_DB_PI_List">'[1]Grants DB - PI List'!$A$2:$C$211</definedName>
    <definedName name="Greenhouse_Rate">'Fee Schedule'!$A$25</definedName>
    <definedName name="Growth_Chamber_Rate">'Fee Schedule'!$B$25</definedName>
    <definedName name="Instructions">'Lookup Lists'!$E$2:$E$4</definedName>
    <definedName name="Lead_Project_Investigator">'Promotion Board Budget'!$B$3</definedName>
    <definedName name="PI_Name">'PI List'!$A$2:$A$199</definedName>
    <definedName name="Plant_Growth_Facility_Months">'Lookup Lists'!$D$2:$D$26</definedName>
    <definedName name="_xlnm.Print_Area" localSheetId="2">'Co-PI #1 Station Maint Budget'!$A$1:$F$288</definedName>
    <definedName name="_xlnm.Print_Area" localSheetId="3">'Co-PI #2 Station Maint Budget'!$A$1:$F$288</definedName>
    <definedName name="_xlnm.Print_Area" localSheetId="4">'Co-PI #3 Station Maint Budget'!$A$1:$F$288</definedName>
    <definedName name="_xlnm.Print_Area" localSheetId="1">'Lead PI Station Maint Budget'!$A$1:$F$288</definedName>
    <definedName name="_xlnm.Print_Area" localSheetId="0">'Promotion Board Budget'!$A$1:$J$86</definedName>
    <definedName name="_xlnm.Print_Titles" localSheetId="9">'CES Scientists'!$1:$1</definedName>
    <definedName name="_xlnm.Print_Titles" localSheetId="2">'Co-PI #1 Station Maint Budget'!$1:$1</definedName>
    <definedName name="_xlnm.Print_Titles" localSheetId="3">'Co-PI #2 Station Maint Budget'!$1:$1</definedName>
    <definedName name="_xlnm.Print_Titles" localSheetId="4">'Co-PI #3 Station Maint Budget'!$1:$1</definedName>
    <definedName name="_xlnm.Print_Titles" localSheetId="10">Departments!$1:$1</definedName>
    <definedName name="_xlnm.Print_Titles" localSheetId="5">'Fee Schedule'!#REF!</definedName>
    <definedName name="_xlnm.Print_Titles" localSheetId="1">'Lead PI Station Maint Budget'!$1:$1</definedName>
    <definedName name="_xlnm.Print_Titles" localSheetId="8">'PI List'!$1:$1</definedName>
    <definedName name="_xlnm.Print_Titles" localSheetId="0">'Promotion Board Budget'!$1:$1</definedName>
    <definedName name="Project_Title">'Promotion Board Budget'!$B$7</definedName>
    <definedName name="Projects_DB_PI_List" localSheetId="2">#REF!</definedName>
    <definedName name="Projects_DB_PI_List" localSheetId="3">#REF!</definedName>
    <definedName name="Projects_DB_PI_List" localSheetId="4">#REF!</definedName>
    <definedName name="Projects_DB_PI_List">#REF!</definedName>
    <definedName name="Quarantine_Rate">'Fee Schedule'!$F$25</definedName>
    <definedName name="Setup_Lookup" localSheetId="2">#REF!</definedName>
    <definedName name="Setup_Lookup" localSheetId="3">#REF!</definedName>
    <definedName name="Setup_Lookup" localSheetId="4">#REF!</definedName>
    <definedName name="Setup_Lookup">#REF!</definedName>
    <definedName name="Station_Name">'Lookup Lists'!$B$2:$B$12</definedName>
    <definedName name="Stations">'Lookup Lists'!$B$2:$B$12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3" l="1"/>
  <c r="I29" i="13"/>
  <c r="J29" i="13"/>
  <c r="A1" i="5" l="1"/>
  <c r="A1" i="25"/>
  <c r="A1" i="26"/>
  <c r="A1" i="29"/>
  <c r="A1" i="13"/>
  <c r="B3" i="29" l="1"/>
  <c r="B3" i="26"/>
  <c r="E287" i="29"/>
  <c r="D287" i="29"/>
  <c r="C287" i="29"/>
  <c r="B287" i="29"/>
  <c r="E286" i="29"/>
  <c r="D286" i="29"/>
  <c r="C286" i="29"/>
  <c r="B286" i="29"/>
  <c r="E285" i="29"/>
  <c r="D285" i="29"/>
  <c r="C285" i="29"/>
  <c r="B285" i="29"/>
  <c r="E284" i="29"/>
  <c r="C284" i="29"/>
  <c r="C283" i="29"/>
  <c r="B283" i="29"/>
  <c r="E282" i="29"/>
  <c r="D282" i="29"/>
  <c r="C282" i="29"/>
  <c r="E281" i="29"/>
  <c r="D281" i="29"/>
  <c r="B281" i="29"/>
  <c r="E280" i="29"/>
  <c r="D280" i="29"/>
  <c r="C280" i="29"/>
  <c r="B280" i="29"/>
  <c r="D279" i="29"/>
  <c r="B279" i="29"/>
  <c r="E278" i="29"/>
  <c r="D278" i="29"/>
  <c r="C278" i="29"/>
  <c r="B278" i="29"/>
  <c r="E277" i="29"/>
  <c r="D277" i="29"/>
  <c r="C277" i="29"/>
  <c r="D242" i="29"/>
  <c r="C242" i="29"/>
  <c r="B242" i="29"/>
  <c r="D241" i="29"/>
  <c r="C241" i="29"/>
  <c r="B241" i="29"/>
  <c r="D240" i="29"/>
  <c r="C240" i="29"/>
  <c r="B240" i="29"/>
  <c r="A238" i="29"/>
  <c r="B237" i="29"/>
  <c r="D237" i="29" s="1"/>
  <c r="B236" i="29"/>
  <c r="D236" i="29" s="1"/>
  <c r="D235" i="29"/>
  <c r="B235" i="29"/>
  <c r="B234" i="29"/>
  <c r="D234" i="29" s="1"/>
  <c r="D233" i="29"/>
  <c r="B233" i="29"/>
  <c r="B232" i="29"/>
  <c r="D232" i="29" s="1"/>
  <c r="B230" i="29"/>
  <c r="D230" i="29" s="1"/>
  <c r="D229" i="29"/>
  <c r="B229" i="29"/>
  <c r="B228" i="29"/>
  <c r="D228" i="29" s="1"/>
  <c r="D227" i="29"/>
  <c r="B227" i="29"/>
  <c r="B226" i="29"/>
  <c r="D226" i="29" s="1"/>
  <c r="D225" i="29"/>
  <c r="B225" i="29"/>
  <c r="B224" i="29"/>
  <c r="D224" i="29" s="1"/>
  <c r="D223" i="29"/>
  <c r="B223" i="29"/>
  <c r="B222" i="29"/>
  <c r="D222" i="29" s="1"/>
  <c r="D221" i="29"/>
  <c r="B221" i="29"/>
  <c r="B219" i="29"/>
  <c r="D219" i="29" s="1"/>
  <c r="G214" i="29"/>
  <c r="G213" i="29"/>
  <c r="G212" i="29"/>
  <c r="D209" i="29"/>
  <c r="A209" i="29"/>
  <c r="D174" i="29"/>
  <c r="C174" i="29"/>
  <c r="B174" i="29"/>
  <c r="D173" i="29"/>
  <c r="C173" i="29"/>
  <c r="B173" i="29"/>
  <c r="D172" i="29"/>
  <c r="C172" i="29"/>
  <c r="B172" i="29"/>
  <c r="A170" i="29"/>
  <c r="D169" i="29"/>
  <c r="B169" i="29"/>
  <c r="B168" i="29"/>
  <c r="D168" i="29" s="1"/>
  <c r="D167" i="29"/>
  <c r="B167" i="29"/>
  <c r="D166" i="29"/>
  <c r="B166" i="29"/>
  <c r="B165" i="29"/>
  <c r="D165" i="29" s="1"/>
  <c r="D164" i="29"/>
  <c r="B164" i="29"/>
  <c r="B162" i="29"/>
  <c r="D162" i="29" s="1"/>
  <c r="D161" i="29"/>
  <c r="B161" i="29"/>
  <c r="D160" i="29"/>
  <c r="B160" i="29"/>
  <c r="B159" i="29"/>
  <c r="D159" i="29" s="1"/>
  <c r="D158" i="29"/>
  <c r="B158" i="29"/>
  <c r="D157" i="29"/>
  <c r="B157" i="29"/>
  <c r="B156" i="29"/>
  <c r="D156" i="29" s="1"/>
  <c r="D155" i="29"/>
  <c r="B155" i="29"/>
  <c r="D154" i="29"/>
  <c r="B154" i="29"/>
  <c r="B153" i="29"/>
  <c r="D153" i="29" s="1"/>
  <c r="B151" i="29"/>
  <c r="D151" i="29" s="1"/>
  <c r="G146" i="29"/>
  <c r="G145" i="29"/>
  <c r="G144" i="29"/>
  <c r="D141" i="29"/>
  <c r="A141" i="29"/>
  <c r="D106" i="29"/>
  <c r="C106" i="29"/>
  <c r="E106" i="29" s="1"/>
  <c r="B106" i="29"/>
  <c r="D105" i="29"/>
  <c r="C105" i="29"/>
  <c r="B105" i="29"/>
  <c r="D104" i="29"/>
  <c r="C104" i="29"/>
  <c r="B104" i="29"/>
  <c r="A102" i="29"/>
  <c r="D101" i="29"/>
  <c r="B101" i="29"/>
  <c r="B100" i="29"/>
  <c r="D100" i="29" s="1"/>
  <c r="D99" i="29"/>
  <c r="B99" i="29"/>
  <c r="B98" i="29"/>
  <c r="D98" i="29" s="1"/>
  <c r="D97" i="29"/>
  <c r="B97" i="29"/>
  <c r="B96" i="29"/>
  <c r="D96" i="29" s="1"/>
  <c r="D94" i="29"/>
  <c r="B94" i="29"/>
  <c r="B93" i="29"/>
  <c r="D93" i="29" s="1"/>
  <c r="B92" i="29"/>
  <c r="D92" i="29" s="1"/>
  <c r="B91" i="29"/>
  <c r="D91" i="29" s="1"/>
  <c r="B90" i="29"/>
  <c r="D90" i="29" s="1"/>
  <c r="B89" i="29"/>
  <c r="D89" i="29" s="1"/>
  <c r="B88" i="29"/>
  <c r="D88" i="29" s="1"/>
  <c r="D87" i="29"/>
  <c r="B87" i="29"/>
  <c r="B86" i="29"/>
  <c r="D86" i="29" s="1"/>
  <c r="B85" i="29"/>
  <c r="D85" i="29" s="1"/>
  <c r="B83" i="29"/>
  <c r="D83" i="29" s="1"/>
  <c r="G78" i="29"/>
  <c r="G77" i="29"/>
  <c r="G76" i="29"/>
  <c r="D73" i="29"/>
  <c r="A73" i="29"/>
  <c r="D38" i="29"/>
  <c r="C38" i="29"/>
  <c r="B38" i="29"/>
  <c r="D37" i="29"/>
  <c r="C37" i="29"/>
  <c r="B37" i="29"/>
  <c r="D36" i="29"/>
  <c r="C36" i="29"/>
  <c r="B36" i="29"/>
  <c r="D33" i="29"/>
  <c r="B33" i="29"/>
  <c r="B32" i="29"/>
  <c r="D32" i="29" s="1"/>
  <c r="B31" i="29"/>
  <c r="D31" i="29" s="1"/>
  <c r="B30" i="29"/>
  <c r="D30" i="29" s="1"/>
  <c r="B29" i="29"/>
  <c r="D29" i="29" s="1"/>
  <c r="D28" i="29"/>
  <c r="B28" i="29"/>
  <c r="D26" i="29"/>
  <c r="B26" i="29"/>
  <c r="B25" i="29"/>
  <c r="D25" i="29" s="1"/>
  <c r="B24" i="29"/>
  <c r="D24" i="29" s="1"/>
  <c r="B23" i="29"/>
  <c r="D23" i="29" s="1"/>
  <c r="B22" i="29"/>
  <c r="D22" i="29" s="1"/>
  <c r="D21" i="29"/>
  <c r="B21" i="29"/>
  <c r="D20" i="29"/>
  <c r="B20" i="29"/>
  <c r="B19" i="29"/>
  <c r="D19" i="29" s="1"/>
  <c r="B18" i="29"/>
  <c r="D18" i="29" s="1"/>
  <c r="D17" i="29"/>
  <c r="B17" i="29"/>
  <c r="B15" i="29"/>
  <c r="D15" i="29" s="1"/>
  <c r="G10" i="29"/>
  <c r="G9" i="29"/>
  <c r="G8" i="29"/>
  <c r="D5" i="29"/>
  <c r="A5" i="29"/>
  <c r="B1" i="29"/>
  <c r="E287" i="26"/>
  <c r="D287" i="26"/>
  <c r="C287" i="26"/>
  <c r="B287" i="26"/>
  <c r="E286" i="26"/>
  <c r="D286" i="26"/>
  <c r="C286" i="26"/>
  <c r="B286" i="26"/>
  <c r="E285" i="26"/>
  <c r="D285" i="26"/>
  <c r="C285" i="26"/>
  <c r="B285" i="26"/>
  <c r="E284" i="26"/>
  <c r="B284" i="26"/>
  <c r="D283" i="26"/>
  <c r="C283" i="26"/>
  <c r="B283" i="26"/>
  <c r="E282" i="26"/>
  <c r="D282" i="26"/>
  <c r="C282" i="26"/>
  <c r="E281" i="26"/>
  <c r="D281" i="26"/>
  <c r="C281" i="26"/>
  <c r="B281" i="26"/>
  <c r="E280" i="26"/>
  <c r="D280" i="26"/>
  <c r="C280" i="26"/>
  <c r="B279" i="26"/>
  <c r="E278" i="26"/>
  <c r="D278" i="26"/>
  <c r="C278" i="26"/>
  <c r="B278" i="26"/>
  <c r="E277" i="26"/>
  <c r="D277" i="26"/>
  <c r="C277" i="26"/>
  <c r="D242" i="26"/>
  <c r="C242" i="26"/>
  <c r="E242" i="26" s="1"/>
  <c r="B242" i="26"/>
  <c r="D241" i="26"/>
  <c r="C241" i="26"/>
  <c r="B241" i="26"/>
  <c r="D240" i="26"/>
  <c r="C240" i="26"/>
  <c r="B240" i="26"/>
  <c r="A238" i="26"/>
  <c r="B237" i="26"/>
  <c r="D237" i="26" s="1"/>
  <c r="B236" i="26"/>
  <c r="D236" i="26" s="1"/>
  <c r="D235" i="26"/>
  <c r="B235" i="26"/>
  <c r="B234" i="26"/>
  <c r="D234" i="26" s="1"/>
  <c r="D233" i="26"/>
  <c r="B233" i="26"/>
  <c r="B232" i="26"/>
  <c r="D232" i="26" s="1"/>
  <c r="B230" i="26"/>
  <c r="D230" i="26" s="1"/>
  <c r="D229" i="26"/>
  <c r="B229" i="26"/>
  <c r="B228" i="26"/>
  <c r="D228" i="26" s="1"/>
  <c r="D227" i="26"/>
  <c r="B227" i="26"/>
  <c r="B226" i="26"/>
  <c r="D226" i="26" s="1"/>
  <c r="D225" i="26"/>
  <c r="B225" i="26"/>
  <c r="B224" i="26"/>
  <c r="D224" i="26" s="1"/>
  <c r="D223" i="26"/>
  <c r="B223" i="26"/>
  <c r="B222" i="26"/>
  <c r="D222" i="26" s="1"/>
  <c r="D221" i="26"/>
  <c r="B221" i="26"/>
  <c r="B219" i="26"/>
  <c r="D219" i="26" s="1"/>
  <c r="G214" i="26"/>
  <c r="G213" i="26"/>
  <c r="G212" i="26"/>
  <c r="D209" i="26"/>
  <c r="A209" i="26"/>
  <c r="D174" i="26"/>
  <c r="C174" i="26"/>
  <c r="B174" i="26"/>
  <c r="D173" i="26"/>
  <c r="C173" i="26"/>
  <c r="B173" i="26"/>
  <c r="D172" i="26"/>
  <c r="C172" i="26"/>
  <c r="B172" i="26"/>
  <c r="A170" i="26"/>
  <c r="D169" i="26"/>
  <c r="B169" i="26"/>
  <c r="B168" i="26"/>
  <c r="D168" i="26" s="1"/>
  <c r="D167" i="26"/>
  <c r="B167" i="26"/>
  <c r="D166" i="26"/>
  <c r="B166" i="26"/>
  <c r="B165" i="26"/>
  <c r="D165" i="26" s="1"/>
  <c r="D164" i="26"/>
  <c r="B164" i="26"/>
  <c r="B162" i="26"/>
  <c r="D162" i="26" s="1"/>
  <c r="D161" i="26"/>
  <c r="B161" i="26"/>
  <c r="D160" i="26"/>
  <c r="B160" i="26"/>
  <c r="B159" i="26"/>
  <c r="D159" i="26" s="1"/>
  <c r="D158" i="26"/>
  <c r="B158" i="26"/>
  <c r="D157" i="26"/>
  <c r="B157" i="26"/>
  <c r="B156" i="26"/>
  <c r="D156" i="26" s="1"/>
  <c r="D155" i="26"/>
  <c r="B155" i="26"/>
  <c r="D154" i="26"/>
  <c r="B154" i="26"/>
  <c r="B153" i="26"/>
  <c r="D153" i="26" s="1"/>
  <c r="B151" i="26"/>
  <c r="D151" i="26" s="1"/>
  <c r="G146" i="26"/>
  <c r="G145" i="26"/>
  <c r="G144" i="26"/>
  <c r="D141" i="26"/>
  <c r="A141" i="26"/>
  <c r="D106" i="26"/>
  <c r="C106" i="26"/>
  <c r="B106" i="26"/>
  <c r="D105" i="26"/>
  <c r="C105" i="26"/>
  <c r="B105" i="26"/>
  <c r="D104" i="26"/>
  <c r="D107" i="26" s="1"/>
  <c r="C104" i="26"/>
  <c r="B104" i="26"/>
  <c r="A102" i="26"/>
  <c r="D101" i="26"/>
  <c r="B101" i="26"/>
  <c r="B100" i="26"/>
  <c r="D100" i="26" s="1"/>
  <c r="D99" i="26"/>
  <c r="B99" i="26"/>
  <c r="B98" i="26"/>
  <c r="D98" i="26" s="1"/>
  <c r="D97" i="26"/>
  <c r="B97" i="26"/>
  <c r="B96" i="26"/>
  <c r="D96" i="26" s="1"/>
  <c r="D94" i="26"/>
  <c r="B94" i="26"/>
  <c r="B93" i="26"/>
  <c r="D93" i="26" s="1"/>
  <c r="B92" i="26"/>
  <c r="D92" i="26" s="1"/>
  <c r="B91" i="26"/>
  <c r="D91" i="26" s="1"/>
  <c r="B90" i="26"/>
  <c r="D90" i="26" s="1"/>
  <c r="B89" i="26"/>
  <c r="D89" i="26" s="1"/>
  <c r="B88" i="26"/>
  <c r="D88" i="26" s="1"/>
  <c r="D87" i="26"/>
  <c r="B87" i="26"/>
  <c r="B86" i="26"/>
  <c r="D86" i="26" s="1"/>
  <c r="B85" i="26"/>
  <c r="D85" i="26" s="1"/>
  <c r="B83" i="26"/>
  <c r="D83" i="26" s="1"/>
  <c r="G78" i="26"/>
  <c r="G77" i="26"/>
  <c r="G76" i="26"/>
  <c r="D73" i="26"/>
  <c r="A73" i="26"/>
  <c r="D38" i="26"/>
  <c r="C38" i="26"/>
  <c r="B38" i="26"/>
  <c r="D37" i="26"/>
  <c r="C37" i="26"/>
  <c r="B37" i="26"/>
  <c r="D36" i="26"/>
  <c r="C36" i="26"/>
  <c r="B36" i="26"/>
  <c r="D33" i="26"/>
  <c r="B33" i="26"/>
  <c r="B32" i="26"/>
  <c r="D32" i="26" s="1"/>
  <c r="B31" i="26"/>
  <c r="D31" i="26" s="1"/>
  <c r="B30" i="26"/>
  <c r="D30" i="26" s="1"/>
  <c r="B29" i="26"/>
  <c r="D29" i="26" s="1"/>
  <c r="D28" i="26"/>
  <c r="B28" i="26"/>
  <c r="D26" i="26"/>
  <c r="B26" i="26"/>
  <c r="B25" i="26"/>
  <c r="D25" i="26" s="1"/>
  <c r="B24" i="26"/>
  <c r="D24" i="26" s="1"/>
  <c r="B23" i="26"/>
  <c r="D23" i="26" s="1"/>
  <c r="B22" i="26"/>
  <c r="D22" i="26" s="1"/>
  <c r="D21" i="26"/>
  <c r="B21" i="26"/>
  <c r="D20" i="26"/>
  <c r="B20" i="26"/>
  <c r="B19" i="26"/>
  <c r="D19" i="26" s="1"/>
  <c r="B18" i="26"/>
  <c r="D18" i="26" s="1"/>
  <c r="D17" i="26"/>
  <c r="B17" i="26"/>
  <c r="B15" i="26"/>
  <c r="D15" i="26" s="1"/>
  <c r="G10" i="26"/>
  <c r="G9" i="26"/>
  <c r="G8" i="26"/>
  <c r="D5" i="26"/>
  <c r="A5" i="26"/>
  <c r="B1" i="26"/>
  <c r="B3" i="25"/>
  <c r="B3" i="5"/>
  <c r="E287" i="25"/>
  <c r="D287" i="25"/>
  <c r="C287" i="25"/>
  <c r="B287" i="25"/>
  <c r="E286" i="25"/>
  <c r="D286" i="25"/>
  <c r="C286" i="25"/>
  <c r="B286" i="25"/>
  <c r="E285" i="25"/>
  <c r="D285" i="25"/>
  <c r="C285" i="25"/>
  <c r="B285" i="25"/>
  <c r="C284" i="25"/>
  <c r="B284" i="25"/>
  <c r="D283" i="25"/>
  <c r="B283" i="25"/>
  <c r="E282" i="25"/>
  <c r="D282" i="25"/>
  <c r="C282" i="25"/>
  <c r="B282" i="25"/>
  <c r="E281" i="25"/>
  <c r="D281" i="25"/>
  <c r="C281" i="25"/>
  <c r="E280" i="25"/>
  <c r="D280" i="25"/>
  <c r="C280" i="25"/>
  <c r="B280" i="25"/>
  <c r="E279" i="25"/>
  <c r="B279" i="25"/>
  <c r="E278" i="25"/>
  <c r="D278" i="25"/>
  <c r="C278" i="25"/>
  <c r="B278" i="25"/>
  <c r="E277" i="25"/>
  <c r="D277" i="25"/>
  <c r="C277" i="25"/>
  <c r="D242" i="25"/>
  <c r="C242" i="25"/>
  <c r="B242" i="25"/>
  <c r="D241" i="25"/>
  <c r="C241" i="25"/>
  <c r="B241" i="25"/>
  <c r="D240" i="25"/>
  <c r="C240" i="25"/>
  <c r="B240" i="25"/>
  <c r="A238" i="25"/>
  <c r="B237" i="25"/>
  <c r="D237" i="25" s="1"/>
  <c r="B236" i="25"/>
  <c r="D236" i="25" s="1"/>
  <c r="D235" i="25"/>
  <c r="B235" i="25"/>
  <c r="B234" i="25"/>
  <c r="D234" i="25" s="1"/>
  <c r="D233" i="25"/>
  <c r="B233" i="25"/>
  <c r="B232" i="25"/>
  <c r="D232" i="25" s="1"/>
  <c r="B230" i="25"/>
  <c r="D230" i="25" s="1"/>
  <c r="D229" i="25"/>
  <c r="B229" i="25"/>
  <c r="B228" i="25"/>
  <c r="D228" i="25" s="1"/>
  <c r="D227" i="25"/>
  <c r="B227" i="25"/>
  <c r="B226" i="25"/>
  <c r="D226" i="25" s="1"/>
  <c r="D225" i="25"/>
  <c r="B225" i="25"/>
  <c r="B224" i="25"/>
  <c r="D224" i="25" s="1"/>
  <c r="D223" i="25"/>
  <c r="B223" i="25"/>
  <c r="B222" i="25"/>
  <c r="D222" i="25" s="1"/>
  <c r="D221" i="25"/>
  <c r="B221" i="25"/>
  <c r="B219" i="25"/>
  <c r="D219" i="25" s="1"/>
  <c r="G214" i="25"/>
  <c r="G213" i="25"/>
  <c r="G212" i="25"/>
  <c r="D209" i="25"/>
  <c r="A209" i="25"/>
  <c r="D174" i="25"/>
  <c r="C174" i="25"/>
  <c r="B174" i="25"/>
  <c r="D173" i="25"/>
  <c r="C173" i="25"/>
  <c r="B173" i="25"/>
  <c r="D172" i="25"/>
  <c r="C172" i="25"/>
  <c r="B172" i="25"/>
  <c r="A170" i="25"/>
  <c r="D169" i="25"/>
  <c r="B169" i="25"/>
  <c r="B168" i="25"/>
  <c r="D168" i="25" s="1"/>
  <c r="D167" i="25"/>
  <c r="B167" i="25"/>
  <c r="D166" i="25"/>
  <c r="B166" i="25"/>
  <c r="B165" i="25"/>
  <c r="D165" i="25" s="1"/>
  <c r="D164" i="25"/>
  <c r="B164" i="25"/>
  <c r="B162" i="25"/>
  <c r="D162" i="25" s="1"/>
  <c r="D161" i="25"/>
  <c r="B161" i="25"/>
  <c r="D160" i="25"/>
  <c r="B160" i="25"/>
  <c r="B159" i="25"/>
  <c r="D159" i="25" s="1"/>
  <c r="D158" i="25"/>
  <c r="B158" i="25"/>
  <c r="D157" i="25"/>
  <c r="B157" i="25"/>
  <c r="B156" i="25"/>
  <c r="D156" i="25" s="1"/>
  <c r="D155" i="25"/>
  <c r="B155" i="25"/>
  <c r="D154" i="25"/>
  <c r="B154" i="25"/>
  <c r="B153" i="25"/>
  <c r="D153" i="25" s="1"/>
  <c r="B151" i="25"/>
  <c r="D151" i="25" s="1"/>
  <c r="G146" i="25"/>
  <c r="G145" i="25"/>
  <c r="G144" i="25"/>
  <c r="D141" i="25"/>
  <c r="A141" i="25"/>
  <c r="D106" i="25"/>
  <c r="C106" i="25"/>
  <c r="B106" i="25"/>
  <c r="D105" i="25"/>
  <c r="C105" i="25"/>
  <c r="B105" i="25"/>
  <c r="D104" i="25"/>
  <c r="C104" i="25"/>
  <c r="B104" i="25"/>
  <c r="A102" i="25"/>
  <c r="D101" i="25"/>
  <c r="B101" i="25"/>
  <c r="B100" i="25"/>
  <c r="D100" i="25" s="1"/>
  <c r="D99" i="25"/>
  <c r="B99" i="25"/>
  <c r="B98" i="25"/>
  <c r="D98" i="25" s="1"/>
  <c r="D97" i="25"/>
  <c r="B97" i="25"/>
  <c r="B96" i="25"/>
  <c r="D96" i="25" s="1"/>
  <c r="D94" i="25"/>
  <c r="B94" i="25"/>
  <c r="B93" i="25"/>
  <c r="D93" i="25" s="1"/>
  <c r="B92" i="25"/>
  <c r="D92" i="25" s="1"/>
  <c r="B91" i="25"/>
  <c r="D91" i="25" s="1"/>
  <c r="B90" i="25"/>
  <c r="D90" i="25" s="1"/>
  <c r="B89" i="25"/>
  <c r="D89" i="25" s="1"/>
  <c r="B88" i="25"/>
  <c r="D88" i="25" s="1"/>
  <c r="D87" i="25"/>
  <c r="B87" i="25"/>
  <c r="B86" i="25"/>
  <c r="D86" i="25" s="1"/>
  <c r="B85" i="25"/>
  <c r="D85" i="25" s="1"/>
  <c r="B83" i="25"/>
  <c r="D83" i="25" s="1"/>
  <c r="G78" i="25"/>
  <c r="G77" i="25"/>
  <c r="G76" i="25"/>
  <c r="D73" i="25"/>
  <c r="A73" i="25"/>
  <c r="D38" i="25"/>
  <c r="C38" i="25"/>
  <c r="B38" i="25"/>
  <c r="D37" i="25"/>
  <c r="C37" i="25"/>
  <c r="B37" i="25"/>
  <c r="D36" i="25"/>
  <c r="C36" i="25"/>
  <c r="B36" i="25"/>
  <c r="D33" i="25"/>
  <c r="B33" i="25"/>
  <c r="B32" i="25"/>
  <c r="D32" i="25" s="1"/>
  <c r="B31" i="25"/>
  <c r="D31" i="25" s="1"/>
  <c r="B30" i="25"/>
  <c r="D30" i="25" s="1"/>
  <c r="B29" i="25"/>
  <c r="D29" i="25" s="1"/>
  <c r="D28" i="25"/>
  <c r="B28" i="25"/>
  <c r="D26" i="25"/>
  <c r="B26" i="25"/>
  <c r="B25" i="25"/>
  <c r="D25" i="25" s="1"/>
  <c r="B24" i="25"/>
  <c r="D24" i="25" s="1"/>
  <c r="B23" i="25"/>
  <c r="D23" i="25" s="1"/>
  <c r="B22" i="25"/>
  <c r="D22" i="25" s="1"/>
  <c r="D21" i="25"/>
  <c r="B21" i="25"/>
  <c r="D20" i="25"/>
  <c r="B20" i="25"/>
  <c r="B19" i="25"/>
  <c r="D19" i="25" s="1"/>
  <c r="B18" i="25"/>
  <c r="D18" i="25" s="1"/>
  <c r="D17" i="25"/>
  <c r="B17" i="25"/>
  <c r="B15" i="25"/>
  <c r="D15" i="25" s="1"/>
  <c r="G10" i="25"/>
  <c r="G9" i="25"/>
  <c r="G8" i="25"/>
  <c r="D5" i="25"/>
  <c r="A5" i="25"/>
  <c r="B1" i="25"/>
  <c r="E174" i="29" l="1"/>
  <c r="E175" i="29" s="1"/>
  <c r="E172" i="29"/>
  <c r="E242" i="29"/>
  <c r="E240" i="29"/>
  <c r="E243" i="29" s="1"/>
  <c r="E240" i="26"/>
  <c r="D175" i="25"/>
  <c r="E105" i="25"/>
  <c r="D107" i="25"/>
  <c r="D79" i="25"/>
  <c r="E106" i="25"/>
  <c r="C39" i="29"/>
  <c r="E37" i="29"/>
  <c r="D39" i="25"/>
  <c r="D243" i="29"/>
  <c r="D215" i="29"/>
  <c r="E241" i="29"/>
  <c r="C243" i="29"/>
  <c r="D175" i="29"/>
  <c r="D147" i="29"/>
  <c r="C175" i="29"/>
  <c r="E173" i="29"/>
  <c r="D107" i="29"/>
  <c r="C107" i="29"/>
  <c r="D79" i="29"/>
  <c r="F280" i="29"/>
  <c r="G63" i="13" s="1"/>
  <c r="F285" i="29"/>
  <c r="G68" i="13" s="1"/>
  <c r="F286" i="29"/>
  <c r="G69" i="13" s="1"/>
  <c r="F287" i="29"/>
  <c r="G70" i="13" s="1"/>
  <c r="F278" i="29"/>
  <c r="G61" i="13" s="1"/>
  <c r="D102" i="29"/>
  <c r="C281" i="29" s="1"/>
  <c r="F281" i="29" s="1"/>
  <c r="G64" i="13" s="1"/>
  <c r="E105" i="29"/>
  <c r="D39" i="29"/>
  <c r="D11" i="29"/>
  <c r="E38" i="29"/>
  <c r="D243" i="26"/>
  <c r="E241" i="26"/>
  <c r="E243" i="26" s="1"/>
  <c r="D215" i="26"/>
  <c r="C243" i="26"/>
  <c r="D175" i="26"/>
  <c r="E174" i="26"/>
  <c r="C175" i="26"/>
  <c r="D147" i="26"/>
  <c r="E173" i="26"/>
  <c r="D79" i="26"/>
  <c r="F281" i="26"/>
  <c r="F64" i="13" s="1"/>
  <c r="C107" i="26"/>
  <c r="E38" i="26"/>
  <c r="C39" i="26"/>
  <c r="E37" i="26"/>
  <c r="D11" i="26"/>
  <c r="D39" i="26"/>
  <c r="C243" i="25"/>
  <c r="E241" i="25"/>
  <c r="D215" i="25"/>
  <c r="E240" i="25"/>
  <c r="D243" i="25"/>
  <c r="E242" i="25"/>
  <c r="D147" i="25"/>
  <c r="C175" i="25"/>
  <c r="C107" i="25"/>
  <c r="C39" i="25"/>
  <c r="D11" i="25"/>
  <c r="E38" i="25"/>
  <c r="E37" i="25"/>
  <c r="E36" i="25"/>
  <c r="D34" i="29"/>
  <c r="B282" i="29" s="1"/>
  <c r="F282" i="29" s="1"/>
  <c r="G65" i="13" s="1"/>
  <c r="D170" i="29"/>
  <c r="D238" i="29"/>
  <c r="F286" i="25"/>
  <c r="E69" i="13" s="1"/>
  <c r="E172" i="26"/>
  <c r="E105" i="26"/>
  <c r="F285" i="26"/>
  <c r="F68" i="13" s="1"/>
  <c r="F286" i="26"/>
  <c r="F69" i="13" s="1"/>
  <c r="F287" i="26"/>
  <c r="F70" i="13" s="1"/>
  <c r="E104" i="29"/>
  <c r="E107" i="29" s="1"/>
  <c r="C279" i="29" s="1"/>
  <c r="D34" i="26"/>
  <c r="B282" i="26" s="1"/>
  <c r="F282" i="26" s="1"/>
  <c r="F65" i="13" s="1"/>
  <c r="F285" i="25"/>
  <c r="E68" i="13" s="1"/>
  <c r="F287" i="25"/>
  <c r="E70" i="13" s="1"/>
  <c r="E106" i="26"/>
  <c r="F278" i="26"/>
  <c r="F61" i="13" s="1"/>
  <c r="E36" i="29"/>
  <c r="D34" i="25"/>
  <c r="D170" i="26"/>
  <c r="D238" i="26"/>
  <c r="D102" i="26"/>
  <c r="E174" i="25"/>
  <c r="E36" i="26"/>
  <c r="E104" i="25"/>
  <c r="E107" i="25" s="1"/>
  <c r="E173" i="25"/>
  <c r="F280" i="25"/>
  <c r="E63" i="13" s="1"/>
  <c r="F282" i="25"/>
  <c r="E65" i="13" s="1"/>
  <c r="E104" i="26"/>
  <c r="D170" i="25"/>
  <c r="F278" i="25"/>
  <c r="E61" i="13" s="1"/>
  <c r="D102" i="25"/>
  <c r="D238" i="25"/>
  <c r="E172" i="25"/>
  <c r="D283" i="5"/>
  <c r="E175" i="25" l="1"/>
  <c r="D284" i="25" s="1"/>
  <c r="E39" i="25"/>
  <c r="E39" i="29"/>
  <c r="E283" i="29"/>
  <c r="E279" i="29"/>
  <c r="F279" i="29" s="1"/>
  <c r="G62" i="13" s="1"/>
  <c r="D283" i="29"/>
  <c r="B277" i="29"/>
  <c r="B284" i="29"/>
  <c r="E283" i="26"/>
  <c r="E279" i="26"/>
  <c r="E175" i="26"/>
  <c r="D279" i="26"/>
  <c r="E107" i="26"/>
  <c r="C284" i="26" s="1"/>
  <c r="E39" i="26"/>
  <c r="B277" i="26"/>
  <c r="B280" i="26"/>
  <c r="F280" i="26" s="1"/>
  <c r="F63" i="13" s="1"/>
  <c r="E243" i="25"/>
  <c r="E284" i="25" s="1"/>
  <c r="F284" i="25" s="1"/>
  <c r="E67" i="13" s="1"/>
  <c r="D279" i="25"/>
  <c r="C283" i="25"/>
  <c r="B277" i="25"/>
  <c r="B281" i="25"/>
  <c r="F281" i="25" s="1"/>
  <c r="E64" i="13" s="1"/>
  <c r="C288" i="29"/>
  <c r="D284" i="26"/>
  <c r="D284" i="29"/>
  <c r="C279" i="26"/>
  <c r="C279" i="25"/>
  <c r="E283" i="25"/>
  <c r="C283" i="5"/>
  <c r="B278" i="5"/>
  <c r="B279" i="5"/>
  <c r="B280" i="5"/>
  <c r="B281" i="5"/>
  <c r="B282" i="5"/>
  <c r="B283" i="5"/>
  <c r="B284" i="5"/>
  <c r="B285" i="5"/>
  <c r="B286" i="5"/>
  <c r="B287" i="5"/>
  <c r="D288" i="25" l="1"/>
  <c r="E288" i="29"/>
  <c r="F283" i="29"/>
  <c r="G66" i="13" s="1"/>
  <c r="B288" i="29"/>
  <c r="F277" i="29"/>
  <c r="G60" i="13" s="1"/>
  <c r="E288" i="26"/>
  <c r="F283" i="26"/>
  <c r="F66" i="13" s="1"/>
  <c r="B288" i="26"/>
  <c r="F277" i="26"/>
  <c r="F60" i="13" s="1"/>
  <c r="B288" i="25"/>
  <c r="F277" i="25"/>
  <c r="E60" i="13" s="1"/>
  <c r="F284" i="29"/>
  <c r="G67" i="13" s="1"/>
  <c r="D288" i="29"/>
  <c r="F284" i="26"/>
  <c r="F67" i="13" s="1"/>
  <c r="D288" i="26"/>
  <c r="C288" i="26"/>
  <c r="F279" i="26"/>
  <c r="F62" i="13" s="1"/>
  <c r="F283" i="25"/>
  <c r="E66" i="13" s="1"/>
  <c r="E288" i="25"/>
  <c r="F279" i="25"/>
  <c r="E62" i="13" s="1"/>
  <c r="C288" i="25"/>
  <c r="D242" i="5"/>
  <c r="C242" i="5"/>
  <c r="D241" i="5"/>
  <c r="C241" i="5"/>
  <c r="D240" i="5"/>
  <c r="C240" i="5"/>
  <c r="D174" i="5"/>
  <c r="C174" i="5"/>
  <c r="D173" i="5"/>
  <c r="C173" i="5"/>
  <c r="D172" i="5"/>
  <c r="C172" i="5"/>
  <c r="D106" i="5"/>
  <c r="C106" i="5"/>
  <c r="D105" i="5"/>
  <c r="C105" i="5"/>
  <c r="D104" i="5"/>
  <c r="C104" i="5"/>
  <c r="C175" i="5" l="1"/>
  <c r="F288" i="29"/>
  <c r="F288" i="26"/>
  <c r="F288" i="25"/>
  <c r="C243" i="5"/>
  <c r="D243" i="5"/>
  <c r="D175" i="5"/>
  <c r="C107" i="5"/>
  <c r="D107" i="5"/>
  <c r="D38" i="5"/>
  <c r="C38" i="5"/>
  <c r="D37" i="5"/>
  <c r="C37" i="5"/>
  <c r="D36" i="5"/>
  <c r="C36" i="5"/>
  <c r="D287" i="5"/>
  <c r="D286" i="5"/>
  <c r="D285" i="5"/>
  <c r="A209" i="5" l="1"/>
  <c r="A141" i="5"/>
  <c r="A73" i="5"/>
  <c r="A5" i="5"/>
  <c r="J67" i="13"/>
  <c r="J70" i="13"/>
  <c r="J69" i="13"/>
  <c r="J68" i="13"/>
  <c r="J66" i="13"/>
  <c r="J65" i="13"/>
  <c r="J64" i="13"/>
  <c r="J63" i="13"/>
  <c r="J62" i="13"/>
  <c r="J61" i="13"/>
  <c r="J60" i="13"/>
  <c r="J59" i="13"/>
  <c r="J58" i="13"/>
  <c r="J57" i="13"/>
  <c r="J56" i="13"/>
  <c r="J50" i="13"/>
  <c r="J49" i="13"/>
  <c r="J35" i="13"/>
  <c r="J34" i="13"/>
  <c r="J28" i="13"/>
  <c r="J27" i="13"/>
  <c r="J26" i="13"/>
  <c r="J25" i="13"/>
  <c r="J24" i="13"/>
  <c r="J19" i="13"/>
  <c r="J18" i="13"/>
  <c r="J17" i="13"/>
  <c r="J16" i="13"/>
  <c r="J15" i="13"/>
  <c r="J55" i="13"/>
  <c r="G214" i="5"/>
  <c r="G213" i="5"/>
  <c r="G212" i="5"/>
  <c r="G146" i="5"/>
  <c r="G145" i="5"/>
  <c r="G144" i="5"/>
  <c r="G78" i="5"/>
  <c r="G77" i="5"/>
  <c r="G76" i="5"/>
  <c r="G9" i="5"/>
  <c r="B233" i="5"/>
  <c r="B234" i="5"/>
  <c r="B235" i="5"/>
  <c r="B236" i="5"/>
  <c r="B237" i="5"/>
  <c r="B232" i="5"/>
  <c r="B222" i="5"/>
  <c r="B223" i="5"/>
  <c r="B224" i="5"/>
  <c r="B225" i="5"/>
  <c r="B226" i="5"/>
  <c r="B227" i="5"/>
  <c r="B228" i="5"/>
  <c r="B229" i="5"/>
  <c r="B221" i="5"/>
  <c r="B230" i="5"/>
  <c r="B219" i="5"/>
  <c r="D209" i="5"/>
  <c r="D141" i="5"/>
  <c r="B165" i="5"/>
  <c r="B166" i="5"/>
  <c r="B167" i="5"/>
  <c r="B168" i="5"/>
  <c r="B169" i="5"/>
  <c r="B164" i="5"/>
  <c r="B154" i="5"/>
  <c r="B155" i="5"/>
  <c r="B156" i="5"/>
  <c r="B157" i="5"/>
  <c r="B158" i="5"/>
  <c r="B159" i="5"/>
  <c r="B160" i="5"/>
  <c r="B161" i="5"/>
  <c r="B153" i="5"/>
  <c r="B151" i="5"/>
  <c r="B162" i="5"/>
  <c r="B94" i="5"/>
  <c r="B26" i="5"/>
  <c r="B83" i="5"/>
  <c r="B15" i="5"/>
  <c r="B97" i="5"/>
  <c r="B98" i="5"/>
  <c r="B99" i="5"/>
  <c r="B100" i="5"/>
  <c r="B101" i="5"/>
  <c r="B96" i="5"/>
  <c r="B86" i="5"/>
  <c r="B87" i="5"/>
  <c r="B88" i="5"/>
  <c r="B89" i="5"/>
  <c r="B90" i="5"/>
  <c r="B91" i="5"/>
  <c r="B92" i="5"/>
  <c r="B93" i="5"/>
  <c r="B33" i="5"/>
  <c r="B32" i="5"/>
  <c r="B31" i="5"/>
  <c r="B30" i="5"/>
  <c r="B29" i="5"/>
  <c r="B28" i="5"/>
  <c r="B25" i="5"/>
  <c r="B24" i="5"/>
  <c r="B23" i="5"/>
  <c r="B22" i="5"/>
  <c r="B21" i="5"/>
  <c r="B20" i="5"/>
  <c r="B19" i="5"/>
  <c r="B18" i="5"/>
  <c r="B85" i="5"/>
  <c r="B17" i="5"/>
  <c r="G10" i="5" l="1"/>
  <c r="G8" i="5"/>
  <c r="D28" i="24"/>
  <c r="D27" i="24"/>
  <c r="D26" i="24"/>
  <c r="D25" i="24"/>
  <c r="D24" i="24"/>
  <c r="D23" i="24"/>
  <c r="D22" i="24"/>
  <c r="D21" i="24"/>
  <c r="D20" i="24"/>
  <c r="D19" i="24"/>
  <c r="D18" i="24"/>
  <c r="D17" i="24"/>
  <c r="D16" i="24"/>
  <c r="D15" i="24"/>
  <c r="D14" i="24"/>
  <c r="D13" i="24"/>
  <c r="D12" i="24"/>
  <c r="D11" i="24"/>
  <c r="D10" i="24"/>
  <c r="D9" i="24"/>
  <c r="D8" i="24"/>
  <c r="D7" i="24"/>
  <c r="D6" i="24"/>
  <c r="D5" i="24"/>
  <c r="D4" i="24"/>
  <c r="D3" i="24"/>
  <c r="D2" i="24"/>
  <c r="D11" i="5" l="1"/>
  <c r="D79" i="5"/>
  <c r="D147" i="5"/>
  <c r="D215" i="5"/>
  <c r="B242" i="5"/>
  <c r="B241" i="5"/>
  <c r="B240" i="5"/>
  <c r="B174" i="5"/>
  <c r="B173" i="5"/>
  <c r="B172" i="5"/>
  <c r="B106" i="5"/>
  <c r="B105" i="5"/>
  <c r="B104" i="5"/>
  <c r="D73" i="5"/>
  <c r="D5" i="5"/>
  <c r="B1" i="6"/>
  <c r="A1" i="6"/>
  <c r="E105" i="5" l="1"/>
  <c r="E106" i="5"/>
  <c r="E104" i="5"/>
  <c r="E172" i="5"/>
  <c r="E173" i="5"/>
  <c r="E174" i="5"/>
  <c r="E240" i="5"/>
  <c r="E241" i="5"/>
  <c r="E242" i="5"/>
  <c r="B38" i="5"/>
  <c r="B37" i="5"/>
  <c r="B36" i="5"/>
  <c r="E175" i="5" l="1"/>
  <c r="E36" i="5"/>
  <c r="E37" i="5"/>
  <c r="E38" i="5"/>
  <c r="E243" i="5"/>
  <c r="E107" i="5"/>
  <c r="D39" i="5"/>
  <c r="C39" i="5"/>
  <c r="H21" i="6"/>
  <c r="C1" i="13"/>
  <c r="E39" i="5" l="1"/>
  <c r="B1" i="5"/>
  <c r="G10" i="13" l="1"/>
  <c r="F10" i="13"/>
  <c r="E10" i="13"/>
  <c r="F12" i="13" l="1"/>
  <c r="E12" i="13"/>
  <c r="G12" i="13"/>
  <c r="D10" i="13"/>
  <c r="D12" i="13" l="1"/>
  <c r="K12" i="13" s="1"/>
  <c r="C86" i="13"/>
  <c r="C87" i="13" s="1"/>
  <c r="I59" i="13"/>
  <c r="I58" i="13"/>
  <c r="I57" i="13"/>
  <c r="I56" i="13"/>
  <c r="I55" i="13"/>
  <c r="I50" i="13"/>
  <c r="I49" i="13"/>
  <c r="I35" i="13"/>
  <c r="I34" i="13"/>
  <c r="I28" i="13"/>
  <c r="I27" i="13"/>
  <c r="I26" i="13"/>
  <c r="I25" i="13"/>
  <c r="I24" i="13"/>
  <c r="I16" i="13"/>
  <c r="I17" i="13"/>
  <c r="I18" i="13"/>
  <c r="I19" i="13"/>
  <c r="I15" i="13"/>
  <c r="F82" i="13" l="1"/>
  <c r="G82" i="13"/>
  <c r="E82" i="13"/>
  <c r="D82" i="13"/>
  <c r="E42" i="13"/>
  <c r="F42" i="13"/>
  <c r="G42" i="13"/>
  <c r="E43" i="13"/>
  <c r="F43" i="13"/>
  <c r="G43" i="13"/>
  <c r="D42" i="13"/>
  <c r="D43" i="13"/>
  <c r="J42" i="13" l="1"/>
  <c r="J43" i="13"/>
  <c r="I43" i="13"/>
  <c r="I42" i="13"/>
  <c r="A238" i="5" l="1"/>
  <c r="A102" i="5"/>
  <c r="A170" i="5"/>
  <c r="D237" i="5" l="1"/>
  <c r="D236" i="5"/>
  <c r="D235" i="5"/>
  <c r="D234" i="5"/>
  <c r="D233" i="5"/>
  <c r="D232" i="5"/>
  <c r="D230" i="5"/>
  <c r="D229" i="5"/>
  <c r="D228" i="5"/>
  <c r="D227" i="5"/>
  <c r="D226" i="5"/>
  <c r="D225" i="5"/>
  <c r="D224" i="5"/>
  <c r="D223" i="5"/>
  <c r="D222" i="5"/>
  <c r="D221" i="5"/>
  <c r="D169" i="5"/>
  <c r="D168" i="5"/>
  <c r="D167" i="5"/>
  <c r="D166" i="5"/>
  <c r="D165" i="5"/>
  <c r="D164" i="5"/>
  <c r="D162" i="5"/>
  <c r="D161" i="5"/>
  <c r="D160" i="5"/>
  <c r="D159" i="5"/>
  <c r="D158" i="5"/>
  <c r="D157" i="5"/>
  <c r="D156" i="5"/>
  <c r="D155" i="5"/>
  <c r="D154" i="5"/>
  <c r="D153" i="5"/>
  <c r="D101" i="5"/>
  <c r="D100" i="5"/>
  <c r="D99" i="5"/>
  <c r="D98" i="5"/>
  <c r="D97" i="5"/>
  <c r="D96" i="5"/>
  <c r="D94" i="5"/>
  <c r="D93" i="5"/>
  <c r="D92" i="5"/>
  <c r="D91" i="5"/>
  <c r="D90" i="5"/>
  <c r="D89" i="5"/>
  <c r="D88" i="5"/>
  <c r="D87" i="5"/>
  <c r="D86" i="5"/>
  <c r="D219" i="5" l="1"/>
  <c r="D238" i="5" s="1"/>
  <c r="E283" i="5" s="1"/>
  <c r="D83" i="5"/>
  <c r="D151" i="5"/>
  <c r="D170" i="5" s="1"/>
  <c r="D85" i="5"/>
  <c r="E286" i="5" l="1"/>
  <c r="E287" i="5"/>
  <c r="E285" i="5"/>
  <c r="E281" i="5"/>
  <c r="E282" i="5"/>
  <c r="E279" i="5"/>
  <c r="E280" i="5"/>
  <c r="E277" i="5"/>
  <c r="E278" i="5"/>
  <c r="D282" i="5"/>
  <c r="D280" i="5"/>
  <c r="D281" i="5"/>
  <c r="D277" i="5"/>
  <c r="D278" i="5"/>
  <c r="E284" i="5"/>
  <c r="D284" i="5"/>
  <c r="D279" i="5"/>
  <c r="D102" i="5"/>
  <c r="H56" i="13"/>
  <c r="H57" i="13"/>
  <c r="H58" i="13"/>
  <c r="H59" i="13"/>
  <c r="F72" i="13"/>
  <c r="G52" i="13"/>
  <c r="F52" i="13"/>
  <c r="E52" i="13"/>
  <c r="H50" i="13"/>
  <c r="G37" i="13"/>
  <c r="F37" i="13"/>
  <c r="E37" i="13"/>
  <c r="D37" i="13"/>
  <c r="H35" i="13"/>
  <c r="H34" i="13"/>
  <c r="G31" i="13"/>
  <c r="G41" i="13" s="1"/>
  <c r="F31" i="13"/>
  <c r="F41" i="13" s="1"/>
  <c r="E31" i="13"/>
  <c r="D31" i="13"/>
  <c r="D41" i="13" s="1"/>
  <c r="H28" i="13"/>
  <c r="H27" i="13"/>
  <c r="H26" i="13"/>
  <c r="H25" i="13"/>
  <c r="H24" i="13"/>
  <c r="H16" i="13"/>
  <c r="H17" i="13"/>
  <c r="H18" i="13"/>
  <c r="H19" i="13"/>
  <c r="H15" i="13"/>
  <c r="J41" i="13" l="1"/>
  <c r="E41" i="13"/>
  <c r="H41" i="13" s="1"/>
  <c r="I41" i="13"/>
  <c r="C286" i="5"/>
  <c r="C287" i="5"/>
  <c r="C284" i="5"/>
  <c r="C285" i="5"/>
  <c r="C282" i="5"/>
  <c r="C280" i="5"/>
  <c r="C281" i="5"/>
  <c r="C277" i="5"/>
  <c r="C278" i="5"/>
  <c r="C279" i="5"/>
  <c r="E288" i="5"/>
  <c r="D288" i="5"/>
  <c r="G72" i="13"/>
  <c r="I52" i="13"/>
  <c r="H42" i="13"/>
  <c r="H55" i="13"/>
  <c r="D52" i="13"/>
  <c r="H49" i="13"/>
  <c r="H43" i="13"/>
  <c r="I37" i="13"/>
  <c r="I31" i="13"/>
  <c r="H37" i="13"/>
  <c r="H31" i="13"/>
  <c r="I21" i="13"/>
  <c r="H21" i="13"/>
  <c r="E21" i="13"/>
  <c r="F21" i="13"/>
  <c r="G21" i="13"/>
  <c r="D21" i="13"/>
  <c r="D40" i="13" s="1"/>
  <c r="C288" i="5" l="1"/>
  <c r="F40" i="13"/>
  <c r="F45" i="13" s="1"/>
  <c r="F46" i="13" s="1"/>
  <c r="F73" i="13" s="1"/>
  <c r="G40" i="13"/>
  <c r="E40" i="13"/>
  <c r="H52" i="13"/>
  <c r="J37" i="13"/>
  <c r="J31" i="13"/>
  <c r="J21" i="13"/>
  <c r="K21" i="13" s="1"/>
  <c r="E45" i="13" l="1"/>
  <c r="E46" i="13" s="1"/>
  <c r="J40" i="13"/>
  <c r="D45" i="13"/>
  <c r="D46" i="13" s="1"/>
  <c r="I40" i="13"/>
  <c r="I45" i="13" s="1"/>
  <c r="I46" i="13" s="1"/>
  <c r="G45" i="13"/>
  <c r="G46" i="13" s="1"/>
  <c r="G73" i="13" s="1"/>
  <c r="F83" i="13"/>
  <c r="F84" i="13"/>
  <c r="F85" i="13"/>
  <c r="H40" i="13"/>
  <c r="H45" i="13" s="1"/>
  <c r="H46" i="13" s="1"/>
  <c r="J52" i="13"/>
  <c r="G83" i="13" l="1"/>
  <c r="G85" i="13"/>
  <c r="G84" i="13"/>
  <c r="F86" i="13"/>
  <c r="J45" i="13"/>
  <c r="J46" i="13" s="1"/>
  <c r="G86" i="13" l="1"/>
  <c r="D29" i="5" l="1"/>
  <c r="D30" i="5"/>
  <c r="D32" i="5"/>
  <c r="D33" i="5"/>
  <c r="D28" i="5"/>
  <c r="D31" i="5" l="1"/>
  <c r="B21" i="6" l="1"/>
  <c r="C21" i="6"/>
  <c r="D21" i="6"/>
  <c r="E21" i="6"/>
  <c r="F21" i="6"/>
  <c r="G21" i="6"/>
  <c r="D26" i="5" l="1"/>
  <c r="D19" i="5"/>
  <c r="D21" i="5"/>
  <c r="D23" i="5"/>
  <c r="D22" i="5" l="1"/>
  <c r="D17" i="5"/>
  <c r="D25" i="5"/>
  <c r="D18" i="5"/>
  <c r="D20" i="5"/>
  <c r="D24" i="5"/>
  <c r="D15" i="5" l="1"/>
  <c r="D34" i="5" s="1"/>
  <c r="B277" i="5" s="1"/>
  <c r="F286" i="5" l="1"/>
  <c r="D69" i="13" s="1"/>
  <c r="F287" i="5"/>
  <c r="D70" i="13" s="1"/>
  <c r="F282" i="5"/>
  <c r="D65" i="13" s="1"/>
  <c r="I65" i="13" s="1"/>
  <c r="F285" i="5"/>
  <c r="D68" i="13" s="1"/>
  <c r="F278" i="5"/>
  <c r="D61" i="13" s="1"/>
  <c r="I61" i="13" s="1"/>
  <c r="F280" i="5"/>
  <c r="D63" i="13" s="1"/>
  <c r="I63" i="13" s="1"/>
  <c r="F279" i="5"/>
  <c r="D62" i="13" s="1"/>
  <c r="I62" i="13" s="1"/>
  <c r="F277" i="5"/>
  <c r="D60" i="13" s="1"/>
  <c r="I60" i="13" s="1"/>
  <c r="F284" i="5"/>
  <c r="D67" i="13" s="1"/>
  <c r="H67" i="13" s="1"/>
  <c r="F281" i="5"/>
  <c r="D64" i="13" s="1"/>
  <c r="H64" i="13" s="1"/>
  <c r="I67" i="13" l="1"/>
  <c r="I64" i="13"/>
  <c r="I69" i="13"/>
  <c r="H68" i="13"/>
  <c r="I68" i="13"/>
  <c r="H62" i="13"/>
  <c r="H63" i="13"/>
  <c r="H69" i="13"/>
  <c r="H65" i="13"/>
  <c r="H60" i="13"/>
  <c r="H61" i="13"/>
  <c r="I70" i="13"/>
  <c r="H70" i="13"/>
  <c r="B288" i="5"/>
  <c r="F283" i="5"/>
  <c r="F288" i="5" l="1"/>
  <c r="E72" i="13"/>
  <c r="D66" i="13"/>
  <c r="I66" i="13" l="1"/>
  <c r="E73" i="13"/>
  <c r="H66" i="13"/>
  <c r="D72" i="13"/>
  <c r="E84" i="13" l="1"/>
  <c r="E85" i="13"/>
  <c r="E83" i="13"/>
  <c r="I72" i="13"/>
  <c r="D73" i="13"/>
  <c r="H72" i="13"/>
  <c r="E86" i="13" l="1"/>
  <c r="D85" i="13"/>
  <c r="H85" i="13" s="1"/>
  <c r="D83" i="13"/>
  <c r="D84" i="13"/>
  <c r="H84" i="13" s="1"/>
  <c r="H73" i="13"/>
  <c r="J72" i="13"/>
  <c r="I73" i="13"/>
  <c r="D86" i="13" l="1"/>
  <c r="H86" i="13" s="1"/>
  <c r="H83" i="13"/>
  <c r="J73" i="13"/>
</calcChain>
</file>

<file path=xl/sharedStrings.xml><?xml version="1.0" encoding="utf-8"?>
<sst xmlns="http://schemas.openxmlformats.org/spreadsheetml/2006/main" count="1964" uniqueCount="553">
  <si>
    <t>Cotton</t>
  </si>
  <si>
    <t>Corn</t>
  </si>
  <si>
    <t>Rice</t>
  </si>
  <si>
    <t>Wheat</t>
  </si>
  <si>
    <t>Grain Sorghum</t>
  </si>
  <si>
    <t>Seed</t>
  </si>
  <si>
    <t>N &amp; S Fertilizer</t>
  </si>
  <si>
    <t>P, K, and Micro Fertilizers</t>
  </si>
  <si>
    <t xml:space="preserve">Herbicide/Defoliants </t>
  </si>
  <si>
    <t>Insecticide</t>
  </si>
  <si>
    <t>Fungicide</t>
  </si>
  <si>
    <t>Expense</t>
  </si>
  <si>
    <t>Research Fee</t>
  </si>
  <si>
    <t>Irrigation</t>
  </si>
  <si>
    <t>Planting Fee</t>
  </si>
  <si>
    <t>Harvest Fee</t>
  </si>
  <si>
    <t>Note taking</t>
  </si>
  <si>
    <t>txtRptDeptLocation</t>
  </si>
  <si>
    <t>memComments</t>
  </si>
  <si>
    <t>AEAB</t>
  </si>
  <si>
    <t>Agricultural Economics &amp; Agribusiness</t>
  </si>
  <si>
    <t>E</t>
  </si>
  <si>
    <t/>
  </si>
  <si>
    <t>AECT</t>
  </si>
  <si>
    <t>Effective 05/01/2014</t>
  </si>
  <si>
    <t>AEED</t>
  </si>
  <si>
    <t>Agricultural &amp; Extension Education</t>
  </si>
  <si>
    <t>AGLW</t>
  </si>
  <si>
    <t>Ag Law</t>
  </si>
  <si>
    <t>AGPB</t>
  </si>
  <si>
    <t>Agricultural Publication</t>
  </si>
  <si>
    <t>AGSL</t>
  </si>
  <si>
    <t>Agricultural Statistics Lab</t>
  </si>
  <si>
    <t>ANSC</t>
  </si>
  <si>
    <t>Animal Sciences</t>
  </si>
  <si>
    <t>ARLA</t>
  </si>
  <si>
    <t>Arch-Landscape Arch</t>
  </si>
  <si>
    <t>O</t>
  </si>
  <si>
    <t>AWRC</t>
  </si>
  <si>
    <t>Arkansas Water Resources Center</t>
  </si>
  <si>
    <t>Effective 07/01/08</t>
  </si>
  <si>
    <t>BAEG</t>
  </si>
  <si>
    <t>Biological &amp; Agricultural Engineering</t>
  </si>
  <si>
    <t>BRST</t>
  </si>
  <si>
    <t>Branch Stations</t>
  </si>
  <si>
    <t>CAHE</t>
  </si>
  <si>
    <t>College - Other</t>
  </si>
  <si>
    <t>CAST</t>
  </si>
  <si>
    <t>Ctr For Adv Spatial Tech</t>
  </si>
  <si>
    <t>CSES</t>
  </si>
  <si>
    <t>Crop, Soil &amp; Environmental Sciences</t>
  </si>
  <si>
    <t>CTST</t>
  </si>
  <si>
    <t>Cotton Research &amp; Extension Center</t>
  </si>
  <si>
    <t>DREX</t>
  </si>
  <si>
    <t>Director of the Station</t>
  </si>
  <si>
    <t>ELEG</t>
  </si>
  <si>
    <t>Electrical Engineering</t>
  </si>
  <si>
    <t>ENTO</t>
  </si>
  <si>
    <t>Entomology</t>
  </si>
  <si>
    <t>FDSC</t>
  </si>
  <si>
    <t>Food Science</t>
  </si>
  <si>
    <t>HES</t>
  </si>
  <si>
    <t>Human Environmental Sciences</t>
  </si>
  <si>
    <t>HORT</t>
  </si>
  <si>
    <t>Horticulture</t>
  </si>
  <si>
    <t>IAPS</t>
  </si>
  <si>
    <t>International Agricultural Programs</t>
  </si>
  <si>
    <t>IDOA</t>
  </si>
  <si>
    <t>Interdisciplinary - Division of Agriculture</t>
  </si>
  <si>
    <t>INTE</t>
  </si>
  <si>
    <t>Interdisciplinary - Experiment Station</t>
  </si>
  <si>
    <t>INTO</t>
  </si>
  <si>
    <t>Interdisciplinary - Other</t>
  </si>
  <si>
    <t>LAW</t>
  </si>
  <si>
    <t>National Agricultural Law Centerr</t>
  </si>
  <si>
    <t>LFST</t>
  </si>
  <si>
    <t>Livestock &amp; Forestry Branch Station</t>
  </si>
  <si>
    <t>NERE</t>
  </si>
  <si>
    <t>Northeast Research &amp; Extension Center</t>
  </si>
  <si>
    <t>NOAG</t>
  </si>
  <si>
    <t>Other USDA - Non Division of Agriculture</t>
  </si>
  <si>
    <t>PLPA</t>
  </si>
  <si>
    <t>Plant Pathology</t>
  </si>
  <si>
    <t>POSC</t>
  </si>
  <si>
    <t>Poultry Science</t>
  </si>
  <si>
    <t>PTST</t>
  </si>
  <si>
    <t>Pine Tree Station</t>
  </si>
  <si>
    <t>RIRE</t>
  </si>
  <si>
    <t>Rice Research &amp; Extension Center</t>
  </si>
  <si>
    <t>SERE</t>
  </si>
  <si>
    <t>Southeast Research &amp; Extension Center</t>
  </si>
  <si>
    <t>SOIL</t>
  </si>
  <si>
    <t>Soil Testing</t>
  </si>
  <si>
    <t>SWRE</t>
  </si>
  <si>
    <t>Southwest Research &amp; Extension Center</t>
  </si>
  <si>
    <t>TAEC</t>
  </si>
  <si>
    <t>Teaching AECT</t>
  </si>
  <si>
    <t>THES</t>
  </si>
  <si>
    <t>Teaching HES</t>
  </si>
  <si>
    <t>TLO</t>
  </si>
  <si>
    <t>Technical Licensing Office</t>
  </si>
  <si>
    <t>UAMF</t>
  </si>
  <si>
    <t>School of Forest Resources</t>
  </si>
  <si>
    <t>XASU</t>
  </si>
  <si>
    <t>College of Agriculture - ASU</t>
  </si>
  <si>
    <t>XCES</t>
  </si>
  <si>
    <t>Cooperative Extension Service</t>
  </si>
  <si>
    <t>Access - Department Name</t>
  </si>
  <si>
    <t>Stations</t>
  </si>
  <si>
    <t>PI Name</t>
  </si>
  <si>
    <t>Dept</t>
  </si>
  <si>
    <t>Total</t>
  </si>
  <si>
    <t>Yes</t>
  </si>
  <si>
    <t xml:space="preserve">Research Fee </t>
  </si>
  <si>
    <t>Item Fee</t>
  </si>
  <si>
    <t>Project Years</t>
  </si>
  <si>
    <t>Target Planting Date</t>
  </si>
  <si>
    <t>Target Seeding Rate</t>
  </si>
  <si>
    <t>Design</t>
  </si>
  <si>
    <t>Other</t>
  </si>
  <si>
    <t>List of Treatments</t>
  </si>
  <si>
    <t>Land Preparation</t>
  </si>
  <si>
    <t>Fertilizer Management</t>
  </si>
  <si>
    <t>Pest Control</t>
  </si>
  <si>
    <t>Irrigation Instructions</t>
  </si>
  <si>
    <t>Harvest Method</t>
  </si>
  <si>
    <t>Field Request 1</t>
  </si>
  <si>
    <t>Field Request 2</t>
  </si>
  <si>
    <t>If other, describe</t>
  </si>
  <si>
    <t>Crop Disposal Instructions</t>
  </si>
  <si>
    <t>Station Staff Involvement</t>
  </si>
  <si>
    <t>Special Instructions</t>
  </si>
  <si>
    <t>Total Fee</t>
  </si>
  <si>
    <t>Optional Extras</t>
  </si>
  <si>
    <t>Extra NS Fertilizer</t>
  </si>
  <si>
    <t>Extra PK Fertilizer</t>
  </si>
  <si>
    <t>Extra Herbicide</t>
  </si>
  <si>
    <t>Extra Insecticide</t>
  </si>
  <si>
    <t>Extra Fungicide</t>
  </si>
  <si>
    <t>Herbicide Burndown</t>
  </si>
  <si>
    <t>Management Options</t>
  </si>
  <si>
    <t>Station Provides</t>
  </si>
  <si>
    <t>Campus</t>
  </si>
  <si>
    <t>Fulltime</t>
  </si>
  <si>
    <t>Temp/Hourly</t>
  </si>
  <si>
    <t>Graduate</t>
  </si>
  <si>
    <t>Student</t>
  </si>
  <si>
    <t>AES</t>
  </si>
  <si>
    <t>Total Board
Funding Requested</t>
  </si>
  <si>
    <t>AES Portion</t>
  </si>
  <si>
    <t>CES Portion</t>
  </si>
  <si>
    <t>CES</t>
  </si>
  <si>
    <t>Salaries</t>
  </si>
  <si>
    <t>Graduate Student</t>
  </si>
  <si>
    <t>Wages</t>
  </si>
  <si>
    <t>Hourly-Personnel</t>
  </si>
  <si>
    <t>Hourly-Students</t>
  </si>
  <si>
    <t>Fringe Benefits</t>
  </si>
  <si>
    <t>Fulltime Personnel</t>
  </si>
  <si>
    <t>Personnel Total</t>
  </si>
  <si>
    <t>In-State</t>
  </si>
  <si>
    <t>Out-of-State</t>
  </si>
  <si>
    <t>Travel Total</t>
  </si>
  <si>
    <t>Supplies</t>
  </si>
  <si>
    <t>Fertilizer/Chemicals</t>
  </si>
  <si>
    <t>Publication</t>
  </si>
  <si>
    <t>Statistical Consulting</t>
  </si>
  <si>
    <t>Other Direct Costs</t>
  </si>
  <si>
    <t>Station Maintenance</t>
  </si>
  <si>
    <t>AREC, Fayetteville</t>
  </si>
  <si>
    <t>CTST, Marianna</t>
  </si>
  <si>
    <t>Lonoke Ag Center</t>
  </si>
  <si>
    <t>NERE, Keiser</t>
  </si>
  <si>
    <t>Newport Ext. Center</t>
  </si>
  <si>
    <t>PTST, Colt</t>
  </si>
  <si>
    <t>RIRE, Stuttgart</t>
  </si>
  <si>
    <t>SEST, Rohwer</t>
  </si>
  <si>
    <t>SWRE, Hope</t>
  </si>
  <si>
    <t>VGSS, Kibler</t>
  </si>
  <si>
    <t>M &amp; O Total</t>
  </si>
  <si>
    <t>Project Title</t>
  </si>
  <si>
    <t>Project Year</t>
  </si>
  <si>
    <t>Research Station</t>
  </si>
  <si>
    <t>Acres</t>
  </si>
  <si>
    <t>Number of Plots (Total)</t>
  </si>
  <si>
    <t>Number of Plots (Note Taking)</t>
  </si>
  <si>
    <t>Note Taking (Number of Times)</t>
  </si>
  <si>
    <t>Position Title</t>
  </si>
  <si>
    <t>% Time</t>
  </si>
  <si>
    <t xml:space="preserve">Budgets are requested in separate columns if separate cost centers (AES) or fund numbers (CES) will be needed. </t>
  </si>
  <si>
    <t>Subtotal: Salaries</t>
  </si>
  <si>
    <r>
      <t xml:space="preserve">Name
</t>
    </r>
    <r>
      <rPr>
        <b/>
        <i/>
        <sz val="12"/>
        <color theme="1" tint="0.499984740745262"/>
        <rFont val="Calibri"/>
        <family val="2"/>
        <scheme val="minor"/>
      </rPr>
      <t>(if position is filled)</t>
    </r>
  </si>
  <si>
    <t>Budget for Personnel</t>
  </si>
  <si>
    <t>Subtotal: Graduate Student</t>
  </si>
  <si>
    <t>Hourly</t>
  </si>
  <si>
    <t>Subtotal: Hourly</t>
  </si>
  <si>
    <t>Hourly Personnel</t>
  </si>
  <si>
    <t>Subtotal: Fringe Benefits</t>
  </si>
  <si>
    <t>Travel</t>
  </si>
  <si>
    <t>Maintenance &amp; Operations</t>
  </si>
  <si>
    <t>Total for Proposal</t>
  </si>
  <si>
    <t>Crop</t>
  </si>
  <si>
    <t>Commodity Board</t>
  </si>
  <si>
    <t>Crops</t>
  </si>
  <si>
    <t>Co-PI #1</t>
  </si>
  <si>
    <t>Co-PI #2</t>
  </si>
  <si>
    <t>Co-PI #3</t>
  </si>
  <si>
    <t>Agricultural Education, Communications &amp; Tech</t>
  </si>
  <si>
    <t>Research Station, Crop &amp; Area Estimates</t>
  </si>
  <si>
    <t>Research Station / Crop #2</t>
  </si>
  <si>
    <t>Research Station / Crop #1</t>
  </si>
  <si>
    <t>Research Station / Crop #3</t>
  </si>
  <si>
    <t>Research Station / Crop #4</t>
  </si>
  <si>
    <t>Commodity Boards</t>
  </si>
  <si>
    <t>Co-PI #1 Station Maintenance Budget</t>
  </si>
  <si>
    <t>Lead PI Station Maintenance Budget</t>
  </si>
  <si>
    <t>Co-PI #2 Station Maintenance Budget</t>
  </si>
  <si>
    <t>Co-PI #3 Station Maintenance Budget</t>
  </si>
  <si>
    <t>Soybean Promotion Board</t>
  </si>
  <si>
    <t>Rice Research and Promotion Board</t>
  </si>
  <si>
    <t>Corn and Grain Sorghum Board</t>
  </si>
  <si>
    <t>Wheat Promotion Board</t>
  </si>
  <si>
    <t>Station Maintenance Fee Total</t>
  </si>
  <si>
    <t>Crop #1</t>
  </si>
  <si>
    <t>Crop #2</t>
  </si>
  <si>
    <t>Crop #3</t>
  </si>
  <si>
    <t>Crop #4</t>
  </si>
  <si>
    <t>Station</t>
  </si>
  <si>
    <t>Crop Variety</t>
  </si>
  <si>
    <t>Land Use Request/Work Plan</t>
  </si>
  <si>
    <t>Standard for crop?</t>
  </si>
  <si>
    <t>Land Preparation Notes:</t>
  </si>
  <si>
    <t>Fertilizer Notes:</t>
  </si>
  <si>
    <t>Pest Control Notes:</t>
  </si>
  <si>
    <t>Irrigation Notes:</t>
  </si>
  <si>
    <t>Harvest Notes:</t>
  </si>
  <si>
    <t>M&amp;O</t>
  </si>
  <si>
    <t xml:space="preserve">Wages </t>
  </si>
  <si>
    <t>Benefits</t>
  </si>
  <si>
    <t>Department</t>
  </si>
  <si>
    <t>Luckstead, Jeff</t>
  </si>
  <si>
    <t>Burgos, Nilda</t>
  </si>
  <si>
    <t>Zhao, Jiangchao</t>
  </si>
  <si>
    <t>Hood, Elizabeth</t>
  </si>
  <si>
    <t>Headlee, William</t>
  </si>
  <si>
    <t>Liang, Yi</t>
  </si>
  <si>
    <t>Bottje, Walter</t>
  </si>
  <si>
    <t>Rochell, Samuel</t>
  </si>
  <si>
    <t>Kong, Byung-Whi</t>
  </si>
  <si>
    <t>Joshi, Neelendra</t>
  </si>
  <si>
    <t>Gibson, Kristen</t>
  </si>
  <si>
    <t>Li, Yanbin</t>
  </si>
  <si>
    <t>Rupe, John</t>
  </si>
  <si>
    <t>Philipp, Dirk</t>
  </si>
  <si>
    <t>Pittman, Harrison</t>
  </si>
  <si>
    <t>Mauromoustakos, Andy</t>
  </si>
  <si>
    <t>Babst, Benjamin</t>
  </si>
  <si>
    <t>Shi, Ainong</t>
  </si>
  <si>
    <t>Lead Investigator</t>
  </si>
  <si>
    <t>Other (specify in cell to the right)</t>
  </si>
  <si>
    <t xml:space="preserve">Lead PI  </t>
  </si>
  <si>
    <t>Anthony, Nick</t>
  </si>
  <si>
    <t>Bacon, Robert</t>
  </si>
  <si>
    <t>Baum, Jamie</t>
  </si>
  <si>
    <t>Bluhm, Burt</t>
  </si>
  <si>
    <t>Bourland, Fred</t>
  </si>
  <si>
    <t>Clark, F</t>
  </si>
  <si>
    <t>Clark, John</t>
  </si>
  <si>
    <t>Coffey, Ken</t>
  </si>
  <si>
    <t>Coon, Craig</t>
  </si>
  <si>
    <t>Correll, James</t>
  </si>
  <si>
    <t>Costello, Tom</t>
  </si>
  <si>
    <t>Counce, Paul</t>
  </si>
  <si>
    <t>Crandall, Phillip</t>
  </si>
  <si>
    <t>Dixon, Bruce</t>
  </si>
  <si>
    <t>Erf, Gisela</t>
  </si>
  <si>
    <t>Faske, Travis</t>
  </si>
  <si>
    <t>Francis, Paul</t>
  </si>
  <si>
    <t>Gbur, Edward</t>
  </si>
  <si>
    <t>Halbrook, Steve</t>
  </si>
  <si>
    <t>Howard, Luke</t>
  </si>
  <si>
    <t>Hubbell, Don</t>
  </si>
  <si>
    <t>Johnson, Donald</t>
  </si>
  <si>
    <t>Johnson, Donn</t>
  </si>
  <si>
    <t>Karcher, Douglas</t>
  </si>
  <si>
    <t>Kidd, Michael</t>
  </si>
  <si>
    <t>Kirkpatrick, Terry</t>
  </si>
  <si>
    <t>Korth, Kenneth</t>
  </si>
  <si>
    <t>Kuenzel, Wayne</t>
  </si>
  <si>
    <t>Lee, Sun-Ok</t>
  </si>
  <si>
    <t>Liechty, Hal</t>
  </si>
  <si>
    <t>Maxwell, Charles</t>
  </si>
  <si>
    <t>McDonald, Garry</t>
  </si>
  <si>
    <t>Meullenet, Jean-Francois</t>
  </si>
  <si>
    <t>Miller, David</t>
  </si>
  <si>
    <t>Moldenhauer, Karen</t>
  </si>
  <si>
    <t>Nalley, Lawton</t>
  </si>
  <si>
    <t>Norman, Rick</t>
  </si>
  <si>
    <t>Owens, Casey</t>
  </si>
  <si>
    <t>Pohlman, Fred</t>
  </si>
  <si>
    <t>Popp, Michael</t>
  </si>
  <si>
    <t>Popp, Jennie</t>
  </si>
  <si>
    <t>Proctor, Andy</t>
  </si>
  <si>
    <t>Purcell, Larry</t>
  </si>
  <si>
    <t>Rhoads, Doug</t>
  </si>
  <si>
    <t>Richardson, Mike</t>
  </si>
  <si>
    <t>Robbins, Robert</t>
  </si>
  <si>
    <t>Rorie, Rickey</t>
  </si>
  <si>
    <t>Rosenkrans, Charles</t>
  </si>
  <si>
    <t>Siebenmorgen, Terry</t>
  </si>
  <si>
    <t>Slaton, Nathan</t>
  </si>
  <si>
    <t>Steinkraus, Donald</t>
  </si>
  <si>
    <t>Stephen, Fred</t>
  </si>
  <si>
    <t>Studebaker, Glenn</t>
  </si>
  <si>
    <t>Teague, Tina</t>
  </si>
  <si>
    <t>Tzanetakis, Ioannis</t>
  </si>
  <si>
    <t>Wailes, Eric</t>
  </si>
  <si>
    <t>Wamishe, Yeshi</t>
  </si>
  <si>
    <t>Wang, Ya-Jane</t>
  </si>
  <si>
    <t>White, Donnell</t>
  </si>
  <si>
    <t>Wideman, Robert</t>
  </si>
  <si>
    <t>Willett, Cammy</t>
  </si>
  <si>
    <t>Worthington, Margaret</t>
  </si>
  <si>
    <t>Yazwinski, Thomas</t>
  </si>
  <si>
    <t>Zhu, Jun</t>
  </si>
  <si>
    <t>Barber, Tom</t>
  </si>
  <si>
    <t>%</t>
  </si>
  <si>
    <t>Totals</t>
  </si>
  <si>
    <t>Must match the proposal total.</t>
  </si>
  <si>
    <t>Complete the following section ONLY if the project will be considered for an Ecosystem.</t>
  </si>
  <si>
    <t>Grand Prairie</t>
  </si>
  <si>
    <t>Mississippi Delta</t>
  </si>
  <si>
    <t>White River</t>
  </si>
  <si>
    <t>Ecosystems
(Rice Only)</t>
  </si>
  <si>
    <t>Soybean</t>
  </si>
  <si>
    <r>
      <t xml:space="preserve">For each station maintenance item listed below, select </t>
    </r>
    <r>
      <rPr>
        <b/>
        <i/>
        <sz val="10.5"/>
        <color theme="1" tint="0.34998626667073579"/>
        <rFont val="Calibri"/>
        <family val="2"/>
        <scheme val="minor"/>
      </rPr>
      <t>"Yes"</t>
    </r>
    <r>
      <rPr>
        <i/>
        <sz val="10.5"/>
        <color theme="1" tint="0.34998626667073579"/>
        <rFont val="Calibri"/>
        <family val="2"/>
        <scheme val="minor"/>
      </rPr>
      <t xml:space="preserve"> if the selected service will be provided or performed by experiment station staff. Select </t>
    </r>
    <r>
      <rPr>
        <b/>
        <i/>
        <sz val="10.5"/>
        <color theme="1" tint="0.34998626667073579"/>
        <rFont val="Calibri"/>
        <family val="2"/>
        <scheme val="minor"/>
      </rPr>
      <t>"No"</t>
    </r>
    <r>
      <rPr>
        <i/>
        <sz val="10.5"/>
        <color theme="1" tint="0.3499862666707357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</si>
  <si>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r>
      <t xml:space="preserve">For each station maintenance item listed below, select </t>
    </r>
    <r>
      <rPr>
        <b/>
        <i/>
        <sz val="10.5"/>
        <color rgb="FF595959"/>
        <rFont val="Calibri"/>
        <family val="2"/>
        <scheme val="minor"/>
      </rPr>
      <t>"Yes"</t>
    </r>
    <r>
      <rPr>
        <i/>
        <sz val="10.5"/>
        <color rgb="FF595959"/>
        <rFont val="Calibri"/>
        <family val="2"/>
        <scheme val="minor"/>
      </rPr>
      <t xml:space="preserve"> if the selected service will be provided or performed by experiment station staff. Select </t>
    </r>
    <r>
      <rPr>
        <b/>
        <i/>
        <sz val="10.5"/>
        <color rgb="FF595959"/>
        <rFont val="Calibri"/>
        <family val="2"/>
        <scheme val="minor"/>
      </rPr>
      <t>"No"</t>
    </r>
    <r>
      <rPr>
        <i/>
        <sz val="10.5"/>
        <color rgb="FF59595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</si>
  <si>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t>Budget errors delay submission of your proposal.  Any proposal submitted with errors in the budget cannot be guaranteed accurate presentation for funding. Please check budgets for accuracy.</t>
  </si>
  <si>
    <t>Select "AES" or "CES" for each PI</t>
  </si>
  <si>
    <t>Year</t>
  </si>
  <si>
    <t>Justify out-of-state travel in proposal.</t>
  </si>
  <si>
    <t>Fringe benefits are calculated when salary and wage amounts are entered above.</t>
  </si>
  <si>
    <t>Revision History</t>
  </si>
  <si>
    <t>Correct research fee calculation</t>
  </si>
  <si>
    <t>New fringe rates</t>
  </si>
  <si>
    <t>Release 2018/2019 workbook</t>
  </si>
  <si>
    <t>Release 2019/2010 workbook</t>
  </si>
  <si>
    <t>Date</t>
  </si>
  <si>
    <t>Description</t>
  </si>
  <si>
    <t>Version</t>
  </si>
  <si>
    <t>Ahrendsen, BL</t>
  </si>
  <si>
    <t>Apple, Jason</t>
  </si>
  <si>
    <t>Atungulu, Griffiths</t>
  </si>
  <si>
    <t>Bataineh, M.</t>
  </si>
  <si>
    <t>Bateman, Nick</t>
  </si>
  <si>
    <t>Bathke, Glen</t>
  </si>
  <si>
    <t>Beck, P.A.</t>
  </si>
  <si>
    <t>Becnel, Jennifer</t>
  </si>
  <si>
    <t>Bertucci, Mathew</t>
  </si>
  <si>
    <t>Bond, Richard</t>
  </si>
  <si>
    <t>Bouldin, Jennifer</t>
  </si>
  <si>
    <t>Brye, K.R.</t>
  </si>
  <si>
    <t>Carlin, John</t>
  </si>
  <si>
    <t>Conatser, M.</t>
  </si>
  <si>
    <t>Cunningham, Kyle</t>
  </si>
  <si>
    <t>Dennis, John</t>
  </si>
  <si>
    <t>Donoghue, DJ</t>
  </si>
  <si>
    <t>Dowling, A.</t>
  </si>
  <si>
    <t>Dridi, S.</t>
  </si>
  <si>
    <t>Durand-Morat, Alvaro</t>
  </si>
  <si>
    <t>Egan, Martin</t>
  </si>
  <si>
    <t>Ficklin, R.L.</t>
  </si>
  <si>
    <t>Gadberry, Michael</t>
  </si>
  <si>
    <t>Garcia, M.E.</t>
  </si>
  <si>
    <t>Goggin, F.L.</t>
  </si>
  <si>
    <t>Green, Steven</t>
  </si>
  <si>
    <t>Haggard, B.E.</t>
  </si>
  <si>
    <t>Hargis, B.M.</t>
  </si>
  <si>
    <t>Henry, C.G.</t>
  </si>
  <si>
    <t>Hettiarachchy, Navaam</t>
  </si>
  <si>
    <t>Hipp, Janie</t>
  </si>
  <si>
    <t>Hopkins, John</t>
  </si>
  <si>
    <t>Huang, Yan</t>
  </si>
  <si>
    <t>Kegley, E</t>
  </si>
  <si>
    <t>Killian, T.S.</t>
  </si>
  <si>
    <t>Kim, J.W.</t>
  </si>
  <si>
    <t>Kovacs, K.</t>
  </si>
  <si>
    <t>Kutz, Bryan</t>
  </si>
  <si>
    <t>Kwon, Y.M.</t>
  </si>
  <si>
    <t>Lee, Jackie</t>
  </si>
  <si>
    <t>Lee, JungAe</t>
  </si>
  <si>
    <t>Liang, Lu</t>
  </si>
  <si>
    <t>Loftin, K.</t>
  </si>
  <si>
    <t>Longer, David</t>
  </si>
  <si>
    <t>Lorenz, Gustav</t>
  </si>
  <si>
    <t>MacKay, Wayne</t>
  </si>
  <si>
    <t>Mason, R.E.</t>
  </si>
  <si>
    <t>McKay, Tanja</t>
  </si>
  <si>
    <t>McKenzie, A</t>
  </si>
  <si>
    <t>McWhirt, Amanda</t>
  </si>
  <si>
    <t>Mehmood, S.</t>
  </si>
  <si>
    <t>Miller, J.D.</t>
  </si>
  <si>
    <t>Moon, Zola</t>
  </si>
  <si>
    <t>Morawicki, R.</t>
  </si>
  <si>
    <t>Mozaffari, M.</t>
  </si>
  <si>
    <t>Mozzoni, Leandro</t>
  </si>
  <si>
    <t>Nayga, Rudolfo</t>
  </si>
  <si>
    <t>Newman, David</t>
  </si>
  <si>
    <t>Norsworthy, J.</t>
  </si>
  <si>
    <t>Olson, Matthew</t>
  </si>
  <si>
    <t>Osborn, G. Scot</t>
  </si>
  <si>
    <t>Osborne, D.</t>
  </si>
  <si>
    <t>Pelkki, M.H.</t>
  </si>
  <si>
    <t>Pereira, A.</t>
  </si>
  <si>
    <t>Phillips, G.</t>
  </si>
  <si>
    <t>Powell, Jeremy</t>
  </si>
  <si>
    <t>Rainey, Daniel</t>
  </si>
  <si>
    <t>Ricke, S.C.</t>
  </si>
  <si>
    <t>Robbins, JA</t>
  </si>
  <si>
    <t>Roberts, Trenton</t>
  </si>
  <si>
    <t>Rojas, Clemencia</t>
  </si>
  <si>
    <t>Rom, Curt</t>
  </si>
  <si>
    <t>Sadaka, S.</t>
  </si>
  <si>
    <t>Savin, M</t>
  </si>
  <si>
    <t>Scott, R.C.</t>
  </si>
  <si>
    <t>Seiter, N.</t>
  </si>
  <si>
    <t>Seo, Han-Seok</t>
  </si>
  <si>
    <t>Sha, X.</t>
  </si>
  <si>
    <t>Shakiba, Ehsan</t>
  </si>
  <si>
    <t>Sharpley, A.N.</t>
  </si>
  <si>
    <t>Shoulders, C.W.</t>
  </si>
  <si>
    <t>Spurlock, Terry</t>
  </si>
  <si>
    <t>Srivastava, V</t>
  </si>
  <si>
    <t>Sun, Xiaolun</t>
  </si>
  <si>
    <t>Szalanski, A.L.</t>
  </si>
  <si>
    <t>Tappe, Philip</t>
  </si>
  <si>
    <t>Thomsen, MR</t>
  </si>
  <si>
    <t>Trudo, Sabrina</t>
  </si>
  <si>
    <t>Wallen, Kenneth</t>
  </si>
  <si>
    <t>Wardlow, George</t>
  </si>
  <si>
    <t>Watkins, K.B.</t>
  </si>
  <si>
    <t>Watson, C.E.</t>
  </si>
  <si>
    <t>Way, Kelly</t>
  </si>
  <si>
    <t>Wiedenmann, R.N.</t>
  </si>
  <si>
    <t>Wiersma, Jacquelyn</t>
  </si>
  <si>
    <t>Wilson, Charles</t>
  </si>
  <si>
    <t>Peanut</t>
  </si>
  <si>
    <t>Rosen Center</t>
  </si>
  <si>
    <t>Greenhouse</t>
  </si>
  <si>
    <t>Growth Chamber</t>
  </si>
  <si>
    <t>Quarantine</t>
  </si>
  <si>
    <t>Square Ft.</t>
  </si>
  <si>
    <t>Months</t>
  </si>
  <si>
    <t>Plant Growth Facilities</t>
  </si>
  <si>
    <t>Plant Growth Facility Months</t>
  </si>
  <si>
    <t xml:space="preserve"> Type</t>
  </si>
  <si>
    <t>Plant Growth Facility Estimates</t>
  </si>
  <si>
    <t>Greenhouse Space</t>
  </si>
  <si>
    <t>Growth Chamber Space</t>
  </si>
  <si>
    <t>Quarantine Space</t>
  </si>
  <si>
    <t>Plant Growth Facility Charges</t>
  </si>
  <si>
    <t>Greenhouse
Rate/Sq. Ft./Mo.</t>
  </si>
  <si>
    <t>Growth Chamber
Rate/Sq. Ft./Mo.</t>
  </si>
  <si>
    <t>Quarantine Space (Rosen only)
Rate/Sq. Ft./Mo.</t>
  </si>
  <si>
    <t>$/Sq. Ft./Mo</t>
  </si>
  <si>
    <t># of Months</t>
  </si>
  <si>
    <t>Square Feet</t>
  </si>
  <si>
    <t>Instructions</t>
  </si>
  <si>
    <t>Karen</t>
  </si>
  <si>
    <t>Ballard</t>
  </si>
  <si>
    <t>Julie</t>
  </si>
  <si>
    <t>Robinson</t>
  </si>
  <si>
    <t>Kelly</t>
  </si>
  <si>
    <t>Bryant</t>
  </si>
  <si>
    <t>Scott</t>
  </si>
  <si>
    <t>Stiles</t>
  </si>
  <si>
    <t>Breana</t>
  </si>
  <si>
    <t>Watkins</t>
  </si>
  <si>
    <t>Shane</t>
  </si>
  <si>
    <t>Gadberry</t>
  </si>
  <si>
    <t>John</t>
  </si>
  <si>
    <t>Jennings</t>
  </si>
  <si>
    <t>Sammy</t>
  </si>
  <si>
    <t>Sadaka</t>
  </si>
  <si>
    <t>Tom</t>
  </si>
  <si>
    <t>Barber</t>
  </si>
  <si>
    <t>Michael</t>
  </si>
  <si>
    <t>Daniels</t>
  </si>
  <si>
    <t>Jason</t>
  </si>
  <si>
    <t>Davis</t>
  </si>
  <si>
    <t>Leo</t>
  </si>
  <si>
    <t>Espinoza</t>
  </si>
  <si>
    <t>Jarrod</t>
  </si>
  <si>
    <t>Hardke</t>
  </si>
  <si>
    <t>Kelley</t>
  </si>
  <si>
    <t>Bill</t>
  </si>
  <si>
    <t>Robertson</t>
  </si>
  <si>
    <t>Jeremy</t>
  </si>
  <si>
    <t>Ross</t>
  </si>
  <si>
    <t>Nick</t>
  </si>
  <si>
    <t>Bateman</t>
  </si>
  <si>
    <t>Gus</t>
  </si>
  <si>
    <t>Lorenz</t>
  </si>
  <si>
    <t>Ben</t>
  </si>
  <si>
    <t>Thrash</t>
  </si>
  <si>
    <t>Jon</t>
  </si>
  <si>
    <t>Zawislak</t>
  </si>
  <si>
    <t>Glenn</t>
  </si>
  <si>
    <t>Studebaker</t>
  </si>
  <si>
    <t>Charles</t>
  </si>
  <si>
    <t>Wilson</t>
  </si>
  <si>
    <t>Yeshi</t>
  </si>
  <si>
    <t>Wamishe</t>
  </si>
  <si>
    <t>Terry</t>
  </si>
  <si>
    <t>Spurlock</t>
  </si>
  <si>
    <t>Travis</t>
  </si>
  <si>
    <t>Faske</t>
  </si>
  <si>
    <t>Kirkpatrick</t>
  </si>
  <si>
    <t>Vic</t>
  </si>
  <si>
    <t>Ford</t>
  </si>
  <si>
    <t>Ballard, Karen</t>
  </si>
  <si>
    <t>Robinson, Julie</t>
  </si>
  <si>
    <t>Bryant, Kelly</t>
  </si>
  <si>
    <t>Stiles, Scott</t>
  </si>
  <si>
    <t>Watkins, Breana</t>
  </si>
  <si>
    <t>Gadberry, Shane</t>
  </si>
  <si>
    <t>Jennings, John</t>
  </si>
  <si>
    <t>Sadaka, Sammy</t>
  </si>
  <si>
    <t>Daniels, Michael</t>
  </si>
  <si>
    <t>Davis, Jason</t>
  </si>
  <si>
    <t>Espinoza, Leo</t>
  </si>
  <si>
    <t>Hardke, Jarrod</t>
  </si>
  <si>
    <t>Kelley, Jason</t>
  </si>
  <si>
    <t>Robertson, Bill</t>
  </si>
  <si>
    <t>Ross, Jeremy</t>
  </si>
  <si>
    <t>Lorenz, Gus</t>
  </si>
  <si>
    <t>Thrash, Ben</t>
  </si>
  <si>
    <t>Zawislak, Jon</t>
  </si>
  <si>
    <t>Ford, Vic</t>
  </si>
  <si>
    <t>First</t>
  </si>
  <si>
    <t xml:space="preserve">Last </t>
  </si>
  <si>
    <t>Last, First</t>
  </si>
  <si>
    <t>Lookup in AES List</t>
  </si>
  <si>
    <t>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t>
  </si>
  <si>
    <t>Enter the Research Station, Crop, Number of Acres (including border and rotation), Number of Plots and Note Taking Times information below. All numeric values must be whole numbers.  Acres must be greater than zero. Plots and Note Taking items may be zero.</t>
  </si>
  <si>
    <t>Project CCN for each PI should be entered into the first column. If the total cost should be split with other CCN (non-commodity board projects), please enter the project CCN in the other provided columns along with the allocation among projects.</t>
  </si>
  <si>
    <t>Tuition to be budgeted in the same ratio as GA stipend time, e.g., full time GA stipend, full year’s tuition.</t>
  </si>
  <si>
    <t>Tuition</t>
  </si>
  <si>
    <t>Graduate Students</t>
  </si>
  <si>
    <t>Version: 3.0</t>
  </si>
  <si>
    <t>2020/2021</t>
  </si>
  <si>
    <t>Release 2020/2021 workbook with new Fee Schedule and Fringe Rates for AES and CES.</t>
  </si>
  <si>
    <t>Fringe Benefit Rates (as of 7/1/19)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</si>
</sst>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
    <numFmt numFmtId="165" formatCode="&quot;$&quot;#,##0.00"/>
    <numFmt numFmtId="166" formatCode="0.0"/>
    <numFmt numFmtId="167" formatCode="#,##0.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0"/>
      <color rgb="FF000000"/>
      <name val="Calibri"/>
      <family val="2"/>
    </font>
    <font>
      <sz val="10"/>
      <color theme="1"/>
      <name val="Calibri"/>
      <family val="2"/>
      <scheme val="minor"/>
    </font>
    <font>
      <sz val="10"/>
      <color rgb="FF000000"/>
      <name val="Calibri"/>
      <family val="2"/>
    </font>
    <font>
      <b/>
      <sz val="11"/>
      <color rgb="FF000000"/>
      <name val="Calibri"/>
      <family val="2"/>
    </font>
    <font>
      <sz val="11"/>
      <color rgb="FF000000"/>
      <name val="Calibri"/>
      <family val="2"/>
    </font>
    <font>
      <b/>
      <sz val="14"/>
      <color theme="1"/>
      <name val="Calibri"/>
      <family val="2"/>
      <scheme val="minor"/>
    </font>
    <font>
      <b/>
      <sz val="12"/>
      <color theme="1"/>
      <name val="Calibri"/>
      <family val="2"/>
      <scheme val="minor"/>
    </font>
    <font>
      <sz val="11"/>
      <color rgb="FFFA7D00"/>
      <name val="Calibri"/>
      <family val="2"/>
      <scheme val="minor"/>
    </font>
    <font>
      <sz val="12"/>
      <color theme="1"/>
      <name val="Calibri"/>
      <family val="2"/>
      <scheme val="minor"/>
    </font>
    <font>
      <b/>
      <sz val="12"/>
      <color rgb="FFFA7D00"/>
      <name val="Calibri"/>
      <family val="2"/>
      <scheme val="minor"/>
    </font>
    <font>
      <i/>
      <sz val="12"/>
      <color theme="1" tint="0.34998626667073579"/>
      <name val="Calibri"/>
      <family val="2"/>
      <scheme val="minor"/>
    </font>
    <font>
      <b/>
      <i/>
      <sz val="12"/>
      <color theme="1" tint="0.34998626667073579"/>
      <name val="Calibri"/>
      <family val="2"/>
      <scheme val="minor"/>
    </font>
    <font>
      <sz val="12"/>
      <color rgb="FFFA7D00"/>
      <name val="Calibri"/>
      <family val="2"/>
      <scheme val="minor"/>
    </font>
    <font>
      <sz val="10"/>
      <name val="Arial"/>
      <family val="2"/>
    </font>
    <font>
      <b/>
      <sz val="10"/>
      <name val="Arial"/>
      <family val="2"/>
    </font>
    <font>
      <sz val="10"/>
      <name val="Arial"/>
      <family val="2"/>
    </font>
    <font>
      <b/>
      <sz val="18"/>
      <color theme="1"/>
      <name val="Calibri"/>
      <family val="2"/>
      <scheme val="minor"/>
    </font>
    <font>
      <b/>
      <sz val="16"/>
      <color theme="1"/>
      <name val="Calibri"/>
      <family val="2"/>
      <scheme val="minor"/>
    </font>
    <font>
      <b/>
      <sz val="15"/>
      <color theme="1"/>
      <name val="Calibri"/>
      <family val="2"/>
      <scheme val="minor"/>
    </font>
    <font>
      <sz val="13"/>
      <color theme="1"/>
      <name val="Calibri"/>
      <family val="2"/>
      <scheme val="minor"/>
    </font>
    <font>
      <b/>
      <i/>
      <sz val="12"/>
      <color theme="1" tint="0.499984740745262"/>
      <name val="Calibri"/>
      <family val="2"/>
      <scheme val="minor"/>
    </font>
    <font>
      <b/>
      <sz val="12"/>
      <color theme="1"/>
      <name val="Symbol"/>
      <family val="1"/>
      <charset val="2"/>
    </font>
    <font>
      <sz val="18"/>
      <color theme="3"/>
      <name val="Calibri Light"/>
      <family val="2"/>
      <scheme val="major"/>
    </font>
    <font>
      <b/>
      <sz val="18"/>
      <color theme="1"/>
      <name val="Arial Black"/>
      <family val="2"/>
    </font>
    <font>
      <b/>
      <i/>
      <sz val="12"/>
      <color rgb="FFC00000"/>
      <name val="Calibri"/>
      <family val="2"/>
      <scheme val="minor"/>
    </font>
    <font>
      <sz val="14"/>
      <color theme="1"/>
      <name val="Arial Black"/>
      <family val="2"/>
    </font>
    <font>
      <b/>
      <sz val="14"/>
      <color theme="1"/>
      <name val="Arial Black"/>
      <family val="2"/>
    </font>
    <font>
      <b/>
      <i/>
      <sz val="10"/>
      <color theme="1" tint="0.34998626667073579"/>
      <name val="Calibri"/>
      <family val="2"/>
      <scheme val="minor"/>
    </font>
    <font>
      <b/>
      <sz val="12"/>
      <color rgb="FFC00000"/>
      <name val="Calibri"/>
      <family val="2"/>
      <scheme val="minor"/>
    </font>
    <font>
      <i/>
      <sz val="10.5"/>
      <color theme="1" tint="0.34998626667073579"/>
      <name val="Calibri"/>
      <family val="2"/>
      <scheme val="minor"/>
    </font>
    <font>
      <b/>
      <i/>
      <sz val="10.5"/>
      <color theme="1" tint="0.34998626667073579"/>
      <name val="Calibri"/>
      <family val="2"/>
      <scheme val="minor"/>
    </font>
    <font>
      <i/>
      <sz val="10.5"/>
      <color rgb="FF595959"/>
      <name val="Calibri"/>
      <family val="2"/>
      <scheme val="minor"/>
    </font>
    <font>
      <b/>
      <i/>
      <sz val="10.5"/>
      <color rgb="FF595959"/>
      <name val="Calibri"/>
      <family val="2"/>
      <scheme val="minor"/>
    </font>
    <font>
      <b/>
      <sz val="15"/>
      <color theme="3"/>
      <name val="Calibri"/>
      <family val="2"/>
      <scheme val="minor"/>
    </font>
    <font>
      <sz val="12"/>
      <color rgb="FF000000"/>
      <name val="Calibri"/>
      <family val="2"/>
      <scheme val="minor"/>
    </font>
    <font>
      <b/>
      <sz val="11"/>
      <color theme="0"/>
      <name val="Calibri"/>
      <family val="2"/>
      <scheme val="minor"/>
    </font>
    <font>
      <sz val="11"/>
      <color theme="0"/>
      <name val="Calibri"/>
      <family val="2"/>
      <scheme val="minor"/>
    </font>
    <font>
      <b/>
      <i/>
      <sz val="10.5"/>
      <color rgb="FFC00000"/>
      <name val="Calibri"/>
      <family val="2"/>
      <scheme val="minor"/>
    </font>
    <font>
      <i/>
      <sz val="8.5"/>
      <color theme="1" tint="0.34998626667073579"/>
      <name val="Calibri"/>
      <family val="2"/>
      <scheme val="minor"/>
    </font>
    <font>
      <sz val="8.5"/>
      <color rgb="FF000000"/>
      <name val="Calibri"/>
      <family val="2"/>
      <scheme val="minor"/>
    </font>
    <font>
      <i/>
      <sz val="9"/>
      <color theme="1" tint="0.34998626667073579"/>
      <name val="Calibri"/>
      <family val="2"/>
      <scheme val="minor"/>
    </font>
    <font>
      <sz val="8"/>
      <color theme="1"/>
      <name val="Calibri"/>
      <family val="2"/>
      <scheme val="minor"/>
    </font>
    <font>
      <sz val="8"/>
      <color rgb="FF000000"/>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C0C0C0"/>
        <bgColor rgb="FFC0C0C0"/>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patternFill>
    </fill>
    <fill>
      <patternFill patternType="solid">
        <fgColor rgb="FFB2DE82"/>
        <bgColor indexed="64"/>
      </patternFill>
    </fill>
    <fill>
      <patternFill patternType="solid">
        <fgColor theme="7"/>
      </patternFill>
    </fill>
  </fills>
  <borders count="66">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7F7F7F"/>
      </left>
      <right style="thin">
        <color rgb="FF7F7F7F"/>
      </right>
      <top style="thin">
        <color rgb="FF7F7F7F"/>
      </top>
      <bottom/>
      <diagonal/>
    </border>
    <border>
      <left/>
      <right style="thin">
        <color rgb="FF7F7F7F"/>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auto="1"/>
      </top>
      <bottom style="thin">
        <color rgb="FF7F7F7F"/>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thin">
        <color rgb="FF7F7F7F"/>
      </left>
      <right style="thin">
        <color rgb="FF7F7F7F"/>
      </right>
      <top style="thin">
        <color theme="0" tint="-0.499984740745262"/>
      </top>
      <bottom style="thin">
        <color rgb="FF7F7F7F"/>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rgb="FF7F7F7F"/>
      </right>
      <top style="thin">
        <color rgb="FF7F7F7F"/>
      </top>
      <bottom style="thin">
        <color rgb="FF7F7F7F"/>
      </bottom>
      <diagonal/>
    </border>
    <border>
      <left style="thin">
        <color theme="0" tint="-0.499984740745262"/>
      </left>
      <right style="thin">
        <color rgb="FF7F7F7F"/>
      </right>
      <top/>
      <bottom style="thin">
        <color rgb="FF7F7F7F"/>
      </bottom>
      <diagonal/>
    </border>
    <border>
      <left style="thin">
        <color theme="0" tint="-0.499984740745262"/>
      </left>
      <right/>
      <top style="thin">
        <color rgb="FF7F7F7F"/>
      </top>
      <bottom/>
      <diagonal/>
    </border>
    <border>
      <left/>
      <right style="thin">
        <color rgb="FF7F7F7F"/>
      </right>
      <top/>
      <bottom style="thin">
        <color theme="0" tint="-0.499984740745262"/>
      </bottom>
      <diagonal/>
    </border>
    <border>
      <left/>
      <right/>
      <top style="thick">
        <color theme="1"/>
      </top>
      <bottom style="thick">
        <color theme="1"/>
      </bottom>
      <diagonal/>
    </border>
    <border>
      <left style="thin">
        <color rgb="FF7F7F7F"/>
      </left>
      <right style="thin">
        <color rgb="FF7F7F7F"/>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7F7F7F"/>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7F7F7F"/>
      </right>
      <top/>
      <bottom/>
      <diagonal/>
    </border>
    <border>
      <left style="thin">
        <color rgb="FF7F7F7F"/>
      </left>
      <right/>
      <top style="thin">
        <color rgb="FF7F7F7F"/>
      </top>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thin">
        <color theme="0" tint="-0.499984740745262"/>
      </right>
      <top style="thin">
        <color rgb="FF7F7F7F"/>
      </top>
      <bottom style="thin">
        <color theme="0" tint="-0.499984740745262"/>
      </bottom>
      <diagonal/>
    </border>
    <border>
      <left/>
      <right style="thin">
        <color rgb="FF7F7F7F"/>
      </right>
      <top style="thin">
        <color theme="0" tint="-0.499984740745262"/>
      </top>
      <bottom style="thin">
        <color theme="0" tint="-0.499984740745262"/>
      </bottom>
      <diagonal/>
    </border>
    <border>
      <left style="thin">
        <color rgb="FF7F7F7F"/>
      </left>
      <right style="thin">
        <color rgb="FF7F7F7F"/>
      </right>
      <top style="thin">
        <color rgb="FF7F7F7F"/>
      </top>
      <bottom style="thin">
        <color theme="0" tint="-0.499984740745262"/>
      </bottom>
      <diagonal/>
    </border>
    <border>
      <left style="thin">
        <color rgb="FF7F7F7F"/>
      </left>
      <right style="thin">
        <color rgb="FF7F7F7F"/>
      </right>
      <top/>
      <bottom style="thin">
        <color theme="0" tint="-0.499984740745262"/>
      </bottom>
      <diagonal/>
    </border>
    <border>
      <left style="thin">
        <color theme="0" tint="-0.499984740745262"/>
      </left>
      <right/>
      <top style="thin">
        <color theme="0" tint="-0.499984740745262"/>
      </top>
      <bottom style="thin">
        <color rgb="FF7F7F7F"/>
      </bottom>
      <diagonal/>
    </border>
    <border>
      <left/>
      <right style="thin">
        <color rgb="FF7F7F7F"/>
      </right>
      <top style="thin">
        <color theme="0" tint="-0.499984740745262"/>
      </top>
      <bottom style="thin">
        <color rgb="FF7F7F7F"/>
      </bottom>
      <diagonal/>
    </border>
    <border>
      <left/>
      <right/>
      <top/>
      <bottom style="thick">
        <color theme="4"/>
      </bottom>
      <diagonal/>
    </border>
    <border>
      <left/>
      <right/>
      <top style="thin">
        <color theme="0" tint="-0.499984740745262"/>
      </top>
      <bottom style="thin">
        <color rgb="FF7F7F7F"/>
      </bottom>
      <diagonal/>
    </border>
    <border>
      <left/>
      <right style="thin">
        <color theme="0" tint="-0.499984740745262"/>
      </right>
      <top style="thin">
        <color theme="0" tint="-0.499984740745262"/>
      </top>
      <bottom style="thin">
        <color rgb="FF7F7F7F"/>
      </bottom>
      <diagonal/>
    </border>
    <border>
      <left style="thin">
        <color theme="7" tint="0.39994506668294322"/>
      </left>
      <right style="thin">
        <color theme="7" tint="0.39994506668294322"/>
      </right>
      <top style="thick">
        <color theme="1"/>
      </top>
      <bottom style="thin">
        <color theme="7" tint="0.39994506668294322"/>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right style="thin">
        <color theme="0" tint="-0.499984740745262"/>
      </right>
      <top style="thin">
        <color rgb="FF7F7F7F"/>
      </top>
      <bottom/>
      <diagonal/>
    </border>
    <border>
      <left/>
      <right style="thin">
        <color theme="0" tint="-0.499984740745262"/>
      </right>
      <top/>
      <bottom style="thin">
        <color rgb="FF7F7F7F"/>
      </bottom>
      <diagonal/>
    </border>
    <border>
      <left/>
      <right/>
      <top/>
      <bottom style="thick">
        <color theme="1"/>
      </bottom>
      <diagonal/>
    </border>
    <border>
      <left style="thin">
        <color rgb="FF7F7F7F"/>
      </left>
      <right style="thin">
        <color rgb="FF7F7F7F"/>
      </right>
      <top style="thin">
        <color indexed="64"/>
      </top>
      <bottom style="thin">
        <color theme="1"/>
      </bottom>
      <diagonal/>
    </border>
    <border>
      <left/>
      <right style="thin">
        <color theme="0" tint="-0.499984740745262"/>
      </right>
      <top style="thin">
        <color theme="0" tint="-0.499984740745262"/>
      </top>
      <bottom/>
      <diagonal/>
    </border>
    <border>
      <left style="thin">
        <color theme="0" tint="-0.499984740745262"/>
      </left>
      <right style="thin">
        <color rgb="FF7F7F7F"/>
      </right>
      <top style="thin">
        <color theme="0" tint="-0.499984740745262"/>
      </top>
      <bottom style="thin">
        <color rgb="FF7F7F7F"/>
      </bottom>
      <diagonal/>
    </border>
    <border>
      <left style="thin">
        <color rgb="FF7F7F7F"/>
      </left>
      <right/>
      <top style="thin">
        <color theme="0" tint="-0.499984740745262"/>
      </top>
      <bottom style="thin">
        <color rgb="FF7F7F7F"/>
      </bottom>
      <diagonal/>
    </border>
    <border>
      <left style="thin">
        <color theme="0" tint="-0.499984740745262"/>
      </left>
      <right/>
      <top style="thick">
        <color theme="1"/>
      </top>
      <bottom style="thin">
        <color rgb="FF7F7F7F"/>
      </bottom>
      <diagonal/>
    </border>
    <border>
      <left/>
      <right/>
      <top style="thick">
        <color theme="1"/>
      </top>
      <bottom style="thin">
        <color rgb="FF7F7F7F"/>
      </bottom>
      <diagonal/>
    </border>
    <border>
      <left/>
      <right style="thin">
        <color theme="0" tint="-0.499984740745262"/>
      </right>
      <top style="thick">
        <color theme="1"/>
      </top>
      <bottom style="thin">
        <color rgb="FF7F7F7F"/>
      </bottom>
      <diagonal/>
    </border>
    <border>
      <left style="thin">
        <color theme="0" tint="-0.499984740745262"/>
      </left>
      <right/>
      <top/>
      <bottom style="thin">
        <color rgb="FF7F7F7F"/>
      </bottom>
      <diagonal/>
    </border>
    <border>
      <left/>
      <right style="thin">
        <color theme="0" tint="-0.499984740745262"/>
      </right>
      <top/>
      <bottom/>
      <diagonal/>
    </border>
    <border>
      <left/>
      <right style="thin">
        <color rgb="FF7F7F7F"/>
      </right>
      <top/>
      <bottom style="thin">
        <color rgb="FF7F7F7F"/>
      </bottom>
      <diagonal/>
    </border>
  </borders>
  <cellStyleXfs count="20">
    <xf numFmtId="0" fontId="0" fillId="0" borderId="0"/>
    <xf numFmtId="0" fontId="13" fillId="2" borderId="1" applyNumberFormat="0" applyAlignment="0" applyProtection="0">
      <protection locked="0"/>
    </xf>
    <xf numFmtId="0" fontId="17" fillId="3" borderId="1" applyNumberFormat="0" applyAlignment="0"/>
    <xf numFmtId="0" fontId="13" fillId="7" borderId="1">
      <alignment horizontal="right" wrapText="1"/>
    </xf>
    <xf numFmtId="0" fontId="21" fillId="0" borderId="0"/>
    <xf numFmtId="0" fontId="23" fillId="0" borderId="0"/>
    <xf numFmtId="0" fontId="24" fillId="0" borderId="0"/>
    <xf numFmtId="0" fontId="3" fillId="0" borderId="0">
      <alignment wrapText="1"/>
    </xf>
    <xf numFmtId="0" fontId="15" fillId="0" borderId="0" applyNumberFormat="0" applyFill="0" applyBorder="0" applyAlignment="0" applyProtection="0"/>
    <xf numFmtId="0" fontId="11" fillId="5" borderId="1">
      <alignment horizontal="right" wrapText="1"/>
    </xf>
    <xf numFmtId="0" fontId="18" fillId="0" borderId="0"/>
    <xf numFmtId="43" fontId="20" fillId="0" borderId="0" applyFont="0" applyFill="0" applyBorder="0" applyAlignment="0" applyProtection="0"/>
    <xf numFmtId="0" fontId="20" fillId="0" borderId="0"/>
    <xf numFmtId="9" fontId="13" fillId="0" borderId="0" applyFont="0" applyFill="0" applyBorder="0" applyAlignment="0" applyProtection="0"/>
    <xf numFmtId="0" fontId="27" fillId="0" borderId="0" applyNumberFormat="0" applyFill="0" applyBorder="0" applyAlignment="0" applyProtection="0"/>
    <xf numFmtId="0" fontId="28" fillId="0" borderId="31">
      <alignment horizontal="center" vertical="center" wrapText="1"/>
    </xf>
    <xf numFmtId="0" fontId="2" fillId="0" borderId="0"/>
    <xf numFmtId="0" fontId="38" fillId="0" borderId="48" applyNumberFormat="0" applyFill="0" applyAlignment="0" applyProtection="0"/>
    <xf numFmtId="0" fontId="1" fillId="0" borderId="0"/>
    <xf numFmtId="0" fontId="41" fillId="12" borderId="0" applyNumberFormat="0" applyBorder="0" applyAlignment="0" applyProtection="0"/>
  </cellStyleXfs>
  <cellXfs count="330">
    <xf numFmtId="0" fontId="0" fillId="0" borderId="0" xfId="0"/>
    <xf numFmtId="0" fontId="0" fillId="0" borderId="0" xfId="0" applyAlignment="1">
      <alignment wrapText="1"/>
    </xf>
    <xf numFmtId="0" fontId="5" fillId="4" borderId="2" xfId="0" applyFont="1" applyFill="1" applyBorder="1" applyAlignment="1" applyProtection="1">
      <alignment horizontal="center" vertical="center"/>
    </xf>
    <xf numFmtId="0" fontId="6" fillId="0" borderId="0" xfId="0" applyFont="1"/>
    <xf numFmtId="0" fontId="7" fillId="0" borderId="3" xfId="0" applyFont="1" applyFill="1" applyBorder="1" applyAlignment="1" applyProtection="1">
      <alignment vertical="center" wrapText="1"/>
    </xf>
    <xf numFmtId="0" fontId="9" fillId="0" borderId="3" xfId="0" applyFont="1" applyFill="1" applyBorder="1" applyAlignment="1" applyProtection="1">
      <alignment vertical="center" wrapText="1"/>
    </xf>
    <xf numFmtId="0" fontId="0" fillId="0" borderId="0" xfId="0" applyFont="1"/>
    <xf numFmtId="165" fontId="17" fillId="3" borderId="1" xfId="2" applyNumberFormat="1"/>
    <xf numFmtId="0" fontId="0" fillId="0" borderId="0" xfId="0"/>
    <xf numFmtId="0" fontId="8" fillId="4" borderId="2" xfId="0" applyFont="1" applyFill="1" applyBorder="1" applyAlignment="1" applyProtection="1">
      <alignment horizontal="left" vertical="center"/>
    </xf>
    <xf numFmtId="0" fontId="0" fillId="0" borderId="0" xfId="0" applyFill="1"/>
    <xf numFmtId="0" fontId="13" fillId="0" borderId="0" xfId="1" quotePrefix="1" applyFill="1" applyBorder="1" applyProtection="1">
      <protection locked="0"/>
    </xf>
    <xf numFmtId="165" fontId="17" fillId="3" borderId="1" xfId="2" quotePrefix="1" applyNumberFormat="1"/>
    <xf numFmtId="0" fontId="17" fillId="3" borderId="1" xfId="2" applyAlignment="1" applyProtection="1">
      <alignment horizontal="center"/>
    </xf>
    <xf numFmtId="164" fontId="0" fillId="0" borderId="0" xfId="0" applyNumberFormat="1" applyFont="1" applyAlignment="1">
      <alignment horizontal="right"/>
    </xf>
    <xf numFmtId="0" fontId="0" fillId="0" borderId="0" xfId="0" applyAlignment="1">
      <alignment horizontal="right"/>
    </xf>
    <xf numFmtId="0" fontId="0" fillId="0" borderId="0" xfId="0" applyAlignment="1">
      <alignment vertical="center"/>
    </xf>
    <xf numFmtId="0" fontId="0" fillId="0" borderId="0" xfId="0"/>
    <xf numFmtId="0" fontId="13" fillId="2" borderId="12" xfId="1" applyBorder="1" applyAlignment="1" applyProtection="1">
      <alignment vertical="center"/>
      <protection locked="0"/>
    </xf>
    <xf numFmtId="0" fontId="13" fillId="0" borderId="0" xfId="0" applyFont="1" applyAlignment="1">
      <alignment horizontal="right"/>
    </xf>
    <xf numFmtId="0" fontId="12" fillId="3" borderId="1" xfId="2" applyFont="1" applyAlignment="1">
      <alignment vertical="center"/>
    </xf>
    <xf numFmtId="0" fontId="0" fillId="0" borderId="0" xfId="0" applyFont="1" applyAlignment="1">
      <alignment vertical="center"/>
    </xf>
    <xf numFmtId="0" fontId="0" fillId="0" borderId="0" xfId="0" applyFont="1" applyAlignment="1">
      <alignment horizontal="right"/>
    </xf>
    <xf numFmtId="0" fontId="13" fillId="7" borderId="1" xfId="3" applyAlignment="1">
      <alignment horizontal="right" wrapText="1"/>
    </xf>
    <xf numFmtId="0" fontId="4" fillId="8" borderId="7" xfId="3" applyFont="1" applyFill="1" applyBorder="1">
      <alignment horizontal="right" wrapText="1"/>
    </xf>
    <xf numFmtId="0" fontId="4" fillId="8" borderId="8" xfId="3" applyFont="1" applyFill="1" applyBorder="1">
      <alignment horizontal="right" wrapText="1"/>
    </xf>
    <xf numFmtId="165" fontId="14" fillId="3" borderId="1" xfId="2" applyNumberFormat="1" applyFont="1" applyAlignment="1">
      <alignment horizontal="right" vertical="center"/>
    </xf>
    <xf numFmtId="0" fontId="0" fillId="2" borderId="1" xfId="1" applyFont="1" applyAlignment="1" applyProtection="1">
      <alignment horizontal="center"/>
      <protection locked="0"/>
    </xf>
    <xf numFmtId="0" fontId="11" fillId="8" borderId="1" xfId="3" applyFont="1" applyFill="1" applyBorder="1" applyAlignment="1">
      <alignment horizontal="right" wrapText="1"/>
    </xf>
    <xf numFmtId="0" fontId="11" fillId="5" borderId="1" xfId="9">
      <alignment horizontal="right" wrapText="1"/>
    </xf>
    <xf numFmtId="0" fontId="4" fillId="0" borderId="0" xfId="0" applyFont="1" applyAlignment="1">
      <alignment horizontal="right" wrapText="1"/>
    </xf>
    <xf numFmtId="0" fontId="11" fillId="7" borderId="1" xfId="3" applyFont="1" applyAlignment="1">
      <alignment horizontal="right" wrapText="1"/>
    </xf>
    <xf numFmtId="0" fontId="0" fillId="0" borderId="0" xfId="0"/>
    <xf numFmtId="9" fontId="0" fillId="0" borderId="0" xfId="0" applyNumberFormat="1"/>
    <xf numFmtId="0" fontId="0" fillId="0" borderId="0" xfId="0"/>
    <xf numFmtId="0" fontId="0" fillId="0" borderId="0" xfId="0" applyBorder="1"/>
    <xf numFmtId="0" fontId="11" fillId="0" borderId="0" xfId="0" applyFont="1" applyBorder="1" applyAlignment="1">
      <alignment horizontal="right"/>
    </xf>
    <xf numFmtId="0" fontId="0" fillId="0" borderId="21" xfId="0" applyBorder="1"/>
    <xf numFmtId="164" fontId="17" fillId="3" borderId="1" xfId="2" applyNumberFormat="1" applyBorder="1"/>
    <xf numFmtId="0" fontId="11" fillId="7" borderId="11" xfId="3" applyFont="1" applyBorder="1" applyAlignment="1">
      <alignment horizontal="center" vertical="center" wrapText="1"/>
    </xf>
    <xf numFmtId="0" fontId="11" fillId="6" borderId="0" xfId="0" applyFont="1" applyFill="1" applyBorder="1" applyAlignment="1">
      <alignment vertical="center" textRotation="90"/>
    </xf>
    <xf numFmtId="0" fontId="0" fillId="6" borderId="5" xfId="0" applyFont="1" applyFill="1" applyBorder="1" applyAlignment="1">
      <alignment horizontal="right"/>
    </xf>
    <xf numFmtId="164" fontId="0" fillId="0" borderId="0" xfId="0" applyNumberFormat="1" applyBorder="1"/>
    <xf numFmtId="9" fontId="11" fillId="0" borderId="0" xfId="13" applyFont="1" applyBorder="1" applyAlignment="1">
      <alignment horizontal="right"/>
    </xf>
    <xf numFmtId="0" fontId="11" fillId="0" borderId="5" xfId="9" applyFill="1" applyBorder="1" applyAlignment="1">
      <alignment wrapText="1"/>
    </xf>
    <xf numFmtId="9" fontId="10" fillId="0" borderId="5" xfId="13" applyFont="1" applyBorder="1" applyAlignment="1">
      <alignment horizontal="right"/>
    </xf>
    <xf numFmtId="9" fontId="10" fillId="0" borderId="0" xfId="13" applyFont="1" applyBorder="1" applyAlignment="1">
      <alignment horizontal="right"/>
    </xf>
    <xf numFmtId="0" fontId="0" fillId="0" borderId="0" xfId="0" applyAlignment="1">
      <alignment horizontal="left"/>
    </xf>
    <xf numFmtId="164" fontId="17" fillId="3" borderId="4" xfId="2" applyNumberFormat="1" applyBorder="1"/>
    <xf numFmtId="0" fontId="0" fillId="0" borderId="25" xfId="0" applyBorder="1"/>
    <xf numFmtId="0" fontId="11" fillId="7" borderId="27" xfId="3" applyFont="1" applyBorder="1" applyAlignment="1">
      <alignment horizontal="right" wrapText="1"/>
    </xf>
    <xf numFmtId="0" fontId="11" fillId="7" borderId="28" xfId="3" applyFont="1" applyBorder="1" applyAlignment="1">
      <alignment horizontal="center" vertical="center" wrapText="1"/>
    </xf>
    <xf numFmtId="0" fontId="0" fillId="0" borderId="29" xfId="0" applyBorder="1"/>
    <xf numFmtId="0" fontId="0" fillId="0" borderId="23" xfId="0" applyBorder="1"/>
    <xf numFmtId="0" fontId="15" fillId="0" borderId="23" xfId="8" applyBorder="1" applyAlignment="1">
      <alignment vertical="top" wrapText="1"/>
    </xf>
    <xf numFmtId="0" fontId="0" fillId="0" borderId="0" xfId="0" applyFont="1" applyBorder="1" applyAlignment="1">
      <alignment horizontal="right"/>
    </xf>
    <xf numFmtId="0" fontId="0" fillId="0" borderId="24" xfId="0" applyBorder="1"/>
    <xf numFmtId="0" fontId="17" fillId="3" borderId="1" xfId="2"/>
    <xf numFmtId="0" fontId="11" fillId="7" borderId="1" xfId="3" applyFont="1" applyBorder="1" applyAlignment="1">
      <alignment horizontal="right" wrapText="1"/>
    </xf>
    <xf numFmtId="0" fontId="21" fillId="0" borderId="0" xfId="4" applyAlignment="1"/>
    <xf numFmtId="0" fontId="21" fillId="0" borderId="0" xfId="4" applyAlignment="1">
      <alignment vertical="center"/>
    </xf>
    <xf numFmtId="0" fontId="11" fillId="5" borderId="1" xfId="9" applyBorder="1">
      <alignment horizontal="right" wrapText="1"/>
    </xf>
    <xf numFmtId="0" fontId="13" fillId="7" borderId="1" xfId="3" applyBorder="1" applyAlignment="1">
      <alignment horizontal="right" wrapText="1"/>
    </xf>
    <xf numFmtId="165" fontId="17" fillId="3" borderId="1" xfId="2" applyNumberFormat="1" applyBorder="1"/>
    <xf numFmtId="0" fontId="17" fillId="3" borderId="1" xfId="2" applyBorder="1" applyAlignment="1" applyProtection="1">
      <alignment horizontal="center"/>
    </xf>
    <xf numFmtId="165" fontId="17" fillId="3" borderId="1" xfId="2" quotePrefix="1" applyNumberFormat="1" applyBorder="1"/>
    <xf numFmtId="0" fontId="0" fillId="2" borderId="1" xfId="1" applyFont="1" applyBorder="1" applyAlignment="1" applyProtection="1">
      <alignment horizontal="center"/>
      <protection locked="0"/>
    </xf>
    <xf numFmtId="165" fontId="0" fillId="0" borderId="0" xfId="0" applyNumberFormat="1"/>
    <xf numFmtId="0" fontId="13" fillId="7" borderId="1" xfId="3">
      <alignment horizontal="right" wrapText="1"/>
    </xf>
    <xf numFmtId="0" fontId="13" fillId="7" borderId="4" xfId="3" applyBorder="1">
      <alignment horizontal="right" wrapText="1"/>
    </xf>
    <xf numFmtId="165" fontId="17" fillId="3" borderId="4" xfId="2" applyNumberFormat="1" applyBorder="1"/>
    <xf numFmtId="0" fontId="0" fillId="0" borderId="0" xfId="0" applyBorder="1"/>
    <xf numFmtId="0" fontId="11" fillId="7" borderId="15" xfId="3" applyFont="1" applyBorder="1">
      <alignment horizontal="right" wrapText="1"/>
    </xf>
    <xf numFmtId="0" fontId="11" fillId="7" borderId="1" xfId="3" applyFont="1">
      <alignment horizontal="right" wrapText="1"/>
    </xf>
    <xf numFmtId="0" fontId="0" fillId="0" borderId="6" xfId="0" applyBorder="1"/>
    <xf numFmtId="0" fontId="0" fillId="7" borderId="1" xfId="3" applyFont="1">
      <alignment horizontal="right" wrapText="1"/>
    </xf>
    <xf numFmtId="0" fontId="13" fillId="2" borderId="1" xfId="1" applyAlignment="1" applyProtection="1">
      <alignment horizontal="right"/>
      <protection locked="0"/>
    </xf>
    <xf numFmtId="0" fontId="11" fillId="7" borderId="1" xfId="3" applyFont="1" applyBorder="1">
      <alignment horizontal="right" wrapText="1"/>
    </xf>
    <xf numFmtId="0" fontId="12" fillId="3" borderId="1" xfId="2" applyFont="1" applyBorder="1" applyAlignment="1">
      <alignment vertical="center"/>
    </xf>
    <xf numFmtId="0" fontId="11" fillId="5" borderId="1" xfId="9" applyAlignment="1">
      <alignment horizontal="right" wrapText="1"/>
    </xf>
    <xf numFmtId="164" fontId="13" fillId="2" borderId="1" xfId="1" applyNumberFormat="1" applyBorder="1" applyProtection="1">
      <protection locked="0"/>
    </xf>
    <xf numFmtId="9" fontId="13" fillId="2" borderId="1" xfId="13" applyNumberFormat="1" applyFill="1" applyBorder="1" applyProtection="1">
      <protection locked="0"/>
    </xf>
    <xf numFmtId="9" fontId="13" fillId="2" borderId="1" xfId="1" applyNumberFormat="1" applyProtection="1">
      <protection locked="0"/>
    </xf>
    <xf numFmtId="10" fontId="17" fillId="3" borderId="1" xfId="2" applyNumberFormat="1"/>
    <xf numFmtId="0" fontId="13" fillId="7" borderId="1" xfId="3" applyAlignment="1">
      <alignment horizontal="left" wrapText="1"/>
    </xf>
    <xf numFmtId="0" fontId="13" fillId="7" borderId="1" xfId="3" applyAlignment="1">
      <alignment wrapText="1"/>
    </xf>
    <xf numFmtId="10" fontId="17" fillId="3" borderId="1" xfId="2" applyNumberFormat="1" applyAlignment="1"/>
    <xf numFmtId="10" fontId="17" fillId="3" borderId="1" xfId="2" applyNumberFormat="1" applyAlignment="1">
      <alignment horizontal="right"/>
    </xf>
    <xf numFmtId="0" fontId="11" fillId="7" borderId="1" xfId="3" applyFont="1" applyBorder="1" applyAlignment="1">
      <alignment horizontal="right" vertical="center" wrapText="1"/>
    </xf>
    <xf numFmtId="164" fontId="0" fillId="0" borderId="6" xfId="0" applyNumberFormat="1" applyBorder="1"/>
    <xf numFmtId="0" fontId="0" fillId="2" borderId="27" xfId="1" applyFont="1" applyBorder="1" applyProtection="1">
      <protection locked="0"/>
    </xf>
    <xf numFmtId="0" fontId="0" fillId="2" borderId="1" xfId="1" applyFont="1" applyBorder="1" applyProtection="1">
      <protection locked="0"/>
    </xf>
    <xf numFmtId="165" fontId="14" fillId="3" borderId="1" xfId="2" applyNumberFormat="1" applyFont="1" applyBorder="1" applyAlignment="1">
      <alignment horizontal="right" vertical="center"/>
    </xf>
    <xf numFmtId="0" fontId="11" fillId="5" borderId="1" xfId="9" applyBorder="1" applyAlignment="1">
      <alignment horizontal="center" wrapText="1"/>
    </xf>
    <xf numFmtId="0" fontId="11" fillId="5" borderId="1" xfId="9" applyAlignment="1">
      <alignment horizontal="center" wrapText="1"/>
    </xf>
    <xf numFmtId="0" fontId="0" fillId="0" borderId="0" xfId="0" applyBorder="1"/>
    <xf numFmtId="0" fontId="4" fillId="0" borderId="22" xfId="0" applyFont="1" applyFill="1" applyBorder="1" applyAlignment="1">
      <alignment horizontal="center" wrapText="1"/>
    </xf>
    <xf numFmtId="0" fontId="19" fillId="0" borderId="0" xfId="0" applyFont="1"/>
    <xf numFmtId="9" fontId="13" fillId="2" borderId="33" xfId="1" applyNumberFormat="1" applyBorder="1" applyProtection="1">
      <protection locked="0"/>
    </xf>
    <xf numFmtId="9" fontId="17" fillId="3" borderId="32" xfId="2" applyNumberFormat="1" applyBorder="1"/>
    <xf numFmtId="9" fontId="13" fillId="2" borderId="35" xfId="1" applyNumberFormat="1" applyBorder="1" applyProtection="1">
      <protection locked="0"/>
    </xf>
    <xf numFmtId="0" fontId="13" fillId="7" borderId="18" xfId="3" applyBorder="1">
      <alignment horizontal="right" wrapText="1"/>
    </xf>
    <xf numFmtId="0" fontId="11" fillId="7" borderId="8" xfId="3" applyFont="1" applyBorder="1">
      <alignment horizontal="right" wrapText="1"/>
    </xf>
    <xf numFmtId="0" fontId="13" fillId="7" borderId="11" xfId="3" applyBorder="1">
      <alignment horizontal="right" wrapText="1"/>
    </xf>
    <xf numFmtId="0" fontId="2" fillId="7" borderId="11" xfId="3" applyFont="1" applyBorder="1">
      <alignment horizontal="right" wrapText="1"/>
    </xf>
    <xf numFmtId="0" fontId="11" fillId="7" borderId="11" xfId="3" applyFont="1" applyBorder="1">
      <alignment horizontal="right" wrapText="1"/>
    </xf>
    <xf numFmtId="0" fontId="11" fillId="7" borderId="1" xfId="3" applyFont="1" applyBorder="1" applyAlignment="1">
      <alignment horizontal="center" vertical="center" wrapText="1"/>
    </xf>
    <xf numFmtId="0" fontId="11" fillId="7" borderId="11" xfId="3" applyFont="1" applyBorder="1" applyAlignment="1">
      <alignment horizontal="right" vertical="center" wrapText="1"/>
    </xf>
    <xf numFmtId="0" fontId="2" fillId="0" borderId="15" xfId="0" applyFont="1" applyBorder="1" applyAlignment="1">
      <alignment horizontal="right"/>
    </xf>
    <xf numFmtId="164" fontId="17" fillId="3" borderId="1" xfId="2" applyNumberFormat="1" applyAlignment="1">
      <alignment horizontal="right"/>
    </xf>
    <xf numFmtId="164" fontId="17" fillId="3" borderId="4" xfId="2" applyNumberFormat="1" applyBorder="1" applyAlignment="1">
      <alignment horizontal="right"/>
    </xf>
    <xf numFmtId="164" fontId="17" fillId="3" borderId="32" xfId="2" applyNumberFormat="1" applyBorder="1" applyAlignment="1">
      <alignment horizontal="right"/>
    </xf>
    <xf numFmtId="164" fontId="17" fillId="3" borderId="32" xfId="2" applyNumberFormat="1" applyBorder="1"/>
    <xf numFmtId="0" fontId="33" fillId="0" borderId="0" xfId="0" applyFont="1"/>
    <xf numFmtId="0" fontId="0" fillId="0" borderId="38" xfId="0" applyBorder="1"/>
    <xf numFmtId="0" fontId="0" fillId="2" borderId="44" xfId="1" applyFont="1" applyBorder="1" applyAlignment="1" applyProtection="1">
      <alignment horizontal="center" wrapText="1"/>
      <protection locked="0"/>
    </xf>
    <xf numFmtId="0" fontId="33" fillId="0" borderId="0" xfId="0" applyFont="1" applyFill="1"/>
    <xf numFmtId="0" fontId="33" fillId="3" borderId="1" xfId="2" applyFont="1" applyAlignment="1">
      <alignment horizontal="center"/>
    </xf>
    <xf numFmtId="165" fontId="17" fillId="3" borderId="1" xfId="2" applyNumberFormat="1" applyBorder="1" applyAlignment="1">
      <alignment horizontal="right"/>
    </xf>
    <xf numFmtId="165" fontId="17" fillId="3" borderId="1" xfId="2" applyNumberFormat="1" applyAlignment="1">
      <alignment horizontal="right"/>
    </xf>
    <xf numFmtId="0" fontId="16" fillId="0" borderId="23" xfId="8" applyFont="1" applyFill="1" applyBorder="1" applyAlignment="1">
      <alignment horizontal="left" vertical="top" wrapText="1"/>
    </xf>
    <xf numFmtId="165" fontId="14" fillId="3" borderId="1" xfId="2" applyNumberFormat="1" applyFont="1" applyBorder="1" applyAlignment="1" applyProtection="1">
      <alignment horizontal="right" vertical="center"/>
    </xf>
    <xf numFmtId="0" fontId="39" fillId="0" borderId="0" xfId="0" applyFont="1" applyAlignment="1">
      <alignment vertical="center"/>
    </xf>
    <xf numFmtId="0" fontId="15" fillId="0" borderId="0" xfId="8" applyAlignment="1">
      <alignment vertical="top"/>
    </xf>
    <xf numFmtId="0" fontId="39" fillId="0" borderId="0" xfId="0" applyFont="1" applyAlignment="1">
      <alignment vertical="top"/>
    </xf>
    <xf numFmtId="0" fontId="0" fillId="0" borderId="0" xfId="0" applyAlignment="1">
      <alignment vertical="top"/>
    </xf>
    <xf numFmtId="166" fontId="0" fillId="0" borderId="0" xfId="0" applyNumberFormat="1"/>
    <xf numFmtId="166" fontId="0" fillId="0" borderId="0" xfId="0" applyNumberFormat="1" applyAlignment="1">
      <alignment wrapText="1"/>
    </xf>
    <xf numFmtId="164" fontId="1" fillId="0" borderId="0" xfId="0" applyNumberFormat="1" applyFont="1" applyAlignment="1">
      <alignment horizontal="right"/>
    </xf>
    <xf numFmtId="0" fontId="29" fillId="0" borderId="0" xfId="0" applyFont="1" applyAlignment="1">
      <alignment vertical="center" wrapText="1"/>
    </xf>
    <xf numFmtId="0" fontId="11" fillId="8" borderId="6" xfId="3" applyFont="1" applyFill="1" applyBorder="1" applyAlignment="1">
      <alignment horizontal="right" wrapText="1"/>
    </xf>
    <xf numFmtId="0" fontId="8" fillId="4" borderId="2" xfId="0" applyFont="1" applyFill="1" applyBorder="1" applyAlignment="1" applyProtection="1">
      <alignment horizontal="left" vertical="center" wrapText="1"/>
    </xf>
    <xf numFmtId="165" fontId="17" fillId="3" borderId="1" xfId="2" applyNumberFormat="1" applyAlignment="1">
      <alignment horizontal="right" vertical="center"/>
    </xf>
    <xf numFmtId="165" fontId="0" fillId="0" borderId="52" xfId="0" applyNumberFormat="1" applyBorder="1" applyAlignment="1">
      <alignment horizontal="center"/>
    </xf>
    <xf numFmtId="0" fontId="40" fillId="12" borderId="51" xfId="19" applyFont="1" applyBorder="1" applyAlignment="1">
      <alignment horizontal="center" wrapText="1"/>
    </xf>
    <xf numFmtId="165" fontId="17" fillId="3" borderId="1" xfId="2" applyNumberFormat="1" applyAlignment="1">
      <alignment vertical="center"/>
    </xf>
    <xf numFmtId="166" fontId="17" fillId="3" borderId="1" xfId="2" applyNumberFormat="1" applyAlignment="1">
      <alignment horizontal="right" vertical="center"/>
    </xf>
    <xf numFmtId="167" fontId="17" fillId="3" borderId="1" xfId="2" applyNumberFormat="1" applyAlignment="1">
      <alignment horizontal="right" vertical="center"/>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11" fillId="7" borderId="56" xfId="3" applyFont="1" applyBorder="1">
      <alignment horizontal="right" wrapText="1"/>
    </xf>
    <xf numFmtId="165" fontId="14" fillId="3" borderId="56" xfId="2" applyNumberFormat="1" applyFont="1" applyBorder="1"/>
    <xf numFmtId="0" fontId="15" fillId="0" borderId="0" xfId="8" applyBorder="1" applyAlignment="1">
      <alignment vertical="top"/>
    </xf>
    <xf numFmtId="165" fontId="17" fillId="3" borderId="6" xfId="2" applyNumberFormat="1" applyBorder="1" applyAlignment="1">
      <alignment horizontal="center" vertical="center"/>
    </xf>
    <xf numFmtId="0" fontId="44" fillId="0" borderId="0" xfId="0" applyFont="1" applyAlignment="1">
      <alignment horizontal="justify" vertical="center"/>
    </xf>
    <xf numFmtId="0" fontId="0" fillId="0" borderId="0" xfId="0" quotePrefix="1"/>
    <xf numFmtId="165" fontId="14" fillId="3" borderId="1" xfId="2" applyNumberFormat="1" applyFont="1" applyAlignment="1">
      <alignment vertical="center"/>
    </xf>
    <xf numFmtId="0" fontId="46" fillId="0" borderId="0" xfId="0" applyFont="1" applyAlignment="1">
      <alignment wrapText="1"/>
    </xf>
    <xf numFmtId="0" fontId="47" fillId="0" borderId="0" xfId="0" applyFont="1" applyAlignment="1">
      <alignment vertical="center" wrapText="1"/>
    </xf>
    <xf numFmtId="0" fontId="11" fillId="7" borderId="58" xfId="3" applyFont="1" applyBorder="1" applyAlignment="1">
      <alignment horizontal="right" wrapText="1"/>
    </xf>
    <xf numFmtId="0" fontId="11" fillId="7" borderId="22" xfId="3" applyFont="1" applyBorder="1" applyAlignment="1">
      <alignment horizontal="right" wrapText="1"/>
    </xf>
    <xf numFmtId="0" fontId="0" fillId="0" borderId="26" xfId="0" applyBorder="1"/>
    <xf numFmtId="0" fontId="0" fillId="0" borderId="20" xfId="0" applyBorder="1"/>
    <xf numFmtId="0" fontId="11" fillId="0" borderId="34" xfId="9" applyFill="1" applyBorder="1" applyAlignment="1">
      <alignment wrapText="1"/>
    </xf>
    <xf numFmtId="9" fontId="10" fillId="0" borderId="30" xfId="13" applyFont="1" applyBorder="1" applyAlignment="1">
      <alignment horizontal="right"/>
    </xf>
    <xf numFmtId="1" fontId="13" fillId="2" borderId="1" xfId="1" applyNumberFormat="1" applyProtection="1">
      <protection locked="0"/>
    </xf>
    <xf numFmtId="166" fontId="13" fillId="2" borderId="1" xfId="1" applyNumberFormat="1" applyAlignment="1" applyProtection="1">
      <alignment horizontal="right" vertical="center" wrapText="1"/>
      <protection locked="0"/>
    </xf>
    <xf numFmtId="166" fontId="13" fillId="2" borderId="1" xfId="1" applyNumberFormat="1" applyAlignment="1" applyProtection="1">
      <alignment horizontal="right"/>
      <protection locked="0"/>
    </xf>
    <xf numFmtId="0" fontId="11" fillId="5" borderId="1" xfId="9" applyAlignment="1">
      <alignment horizontal="center" wrapText="1"/>
    </xf>
    <xf numFmtId="0" fontId="29" fillId="0" borderId="0" xfId="0" applyFont="1" applyAlignment="1">
      <alignment vertical="center" wrapText="1"/>
    </xf>
    <xf numFmtId="0" fontId="30" fillId="7" borderId="33" xfId="3" applyFont="1" applyBorder="1" applyAlignment="1">
      <alignment horizontal="right" vertical="center" wrapText="1"/>
    </xf>
    <xf numFmtId="0" fontId="11" fillId="5" borderId="8" xfId="9" applyBorder="1" applyAlignment="1">
      <alignment horizontal="center" wrapText="1"/>
    </xf>
    <xf numFmtId="0" fontId="26" fillId="6" borderId="20" xfId="0" applyFont="1" applyFill="1" applyBorder="1" applyAlignment="1">
      <alignment vertical="center" textRotation="90"/>
    </xf>
    <xf numFmtId="0" fontId="0" fillId="6" borderId="34" xfId="0" applyFont="1" applyFill="1" applyBorder="1" applyAlignment="1">
      <alignment horizontal="right"/>
    </xf>
    <xf numFmtId="0" fontId="0" fillId="0" borderId="0" xfId="0" applyBorder="1" applyAlignment="1"/>
    <xf numFmtId="0" fontId="22" fillId="0" borderId="5" xfId="0" applyFont="1" applyBorder="1" applyAlignment="1">
      <alignment horizontal="right"/>
    </xf>
    <xf numFmtId="0" fontId="0" fillId="0" borderId="33" xfId="0" applyBorder="1"/>
    <xf numFmtId="164" fontId="13" fillId="2" borderId="1" xfId="1" applyNumberFormat="1" applyProtection="1">
      <protection locked="0"/>
    </xf>
    <xf numFmtId="10" fontId="17" fillId="3" borderId="1" xfId="13" applyNumberFormat="1" applyFont="1" applyFill="1" applyBorder="1" applyAlignment="1">
      <alignment horizontal="right"/>
    </xf>
    <xf numFmtId="0" fontId="11" fillId="0" borderId="0" xfId="0" applyFont="1" applyAlignment="1">
      <alignment horizontal="right"/>
    </xf>
    <xf numFmtId="0" fontId="0" fillId="0" borderId="0" xfId="0" applyAlignment="1">
      <alignment horizontal="right" wrapText="1"/>
    </xf>
    <xf numFmtId="166" fontId="0" fillId="0" borderId="0" xfId="0" applyNumberFormat="1" applyAlignment="1">
      <alignment vertical="center"/>
    </xf>
    <xf numFmtId="14" fontId="0" fillId="0" borderId="0" xfId="0" applyNumberFormat="1" applyAlignment="1">
      <alignment horizontal="right" vertical="center"/>
    </xf>
    <xf numFmtId="0" fontId="0" fillId="0" borderId="0" xfId="0" applyAlignment="1">
      <alignment vertical="center" wrapText="1"/>
    </xf>
    <xf numFmtId="0" fontId="15" fillId="0" borderId="0" xfId="8" applyBorder="1" applyAlignment="1" applyProtection="1">
      <alignment horizontal="left" vertical="top" wrapText="1"/>
      <protection hidden="1"/>
    </xf>
    <xf numFmtId="0" fontId="15" fillId="0" borderId="0" xfId="8" applyBorder="1" applyAlignment="1" applyProtection="1">
      <alignment horizontal="left" vertical="top"/>
      <protection hidden="1"/>
    </xf>
    <xf numFmtId="0" fontId="17" fillId="3" borderId="22" xfId="2" applyBorder="1"/>
    <xf numFmtId="0" fontId="11" fillId="7" borderId="9" xfId="3" applyFont="1" applyBorder="1" applyAlignment="1">
      <alignment horizontal="center" vertical="center" wrapText="1"/>
    </xf>
    <xf numFmtId="0" fontId="11" fillId="7" borderId="10" xfId="3" applyFont="1" applyBorder="1" applyAlignment="1">
      <alignment horizontal="center" vertical="center" wrapText="1"/>
    </xf>
    <xf numFmtId="0" fontId="11" fillId="0" borderId="6" xfId="9" applyFill="1" applyBorder="1" applyAlignment="1">
      <alignment horizontal="center" wrapText="1"/>
    </xf>
    <xf numFmtId="0" fontId="11" fillId="0" borderId="7" xfId="9" applyFill="1" applyBorder="1" applyAlignment="1">
      <alignment horizontal="center" wrapText="1"/>
    </xf>
    <xf numFmtId="0" fontId="11" fillId="0" borderId="8" xfId="9" applyFill="1" applyBorder="1" applyAlignment="1">
      <alignment horizontal="center" wrapText="1"/>
    </xf>
    <xf numFmtId="0" fontId="10" fillId="5" borderId="16" xfId="9" applyFont="1" applyBorder="1" applyAlignment="1">
      <alignment horizontal="center" vertical="center" wrapText="1"/>
    </xf>
    <xf numFmtId="0" fontId="10" fillId="5" borderId="17" xfId="9" applyFont="1" applyBorder="1" applyAlignment="1">
      <alignment horizontal="center" vertical="center" wrapText="1"/>
    </xf>
    <xf numFmtId="0" fontId="10" fillId="5" borderId="18" xfId="9" applyFont="1" applyBorder="1" applyAlignment="1">
      <alignment horizontal="center" vertical="center" wrapText="1"/>
    </xf>
    <xf numFmtId="0" fontId="11" fillId="0" borderId="16" xfId="9" applyFill="1" applyBorder="1" applyAlignment="1">
      <alignment horizontal="center" wrapText="1"/>
    </xf>
    <xf numFmtId="0" fontId="11" fillId="0" borderId="17" xfId="9" applyFill="1" applyBorder="1" applyAlignment="1">
      <alignment horizontal="center" wrapText="1"/>
    </xf>
    <xf numFmtId="0" fontId="11" fillId="0" borderId="18" xfId="9" applyFill="1" applyBorder="1" applyAlignment="1">
      <alignment horizontal="center" wrapText="1"/>
    </xf>
    <xf numFmtId="0" fontId="0" fillId="2" borderId="1" xfId="1" applyFont="1" applyBorder="1" applyAlignment="1" applyProtection="1">
      <protection locked="0"/>
    </xf>
    <xf numFmtId="0" fontId="16" fillId="9" borderId="24" xfId="8" applyFont="1" applyFill="1" applyBorder="1" applyAlignment="1">
      <alignment horizontal="center" vertical="center"/>
    </xf>
    <xf numFmtId="0" fontId="16" fillId="9" borderId="25" xfId="8" applyFont="1" applyFill="1" applyBorder="1" applyAlignment="1">
      <alignment horizontal="center" vertical="center"/>
    </xf>
    <xf numFmtId="0" fontId="16" fillId="9" borderId="21" xfId="8" applyFont="1" applyFill="1" applyBorder="1" applyAlignment="1">
      <alignment horizontal="center" vertical="center"/>
    </xf>
    <xf numFmtId="49" fontId="0" fillId="2" borderId="40" xfId="1" applyNumberFormat="1" applyFont="1" applyBorder="1" applyAlignment="1">
      <alignment horizontal="left" vertical="center" wrapText="1"/>
      <protection locked="0"/>
    </xf>
    <xf numFmtId="49" fontId="0" fillId="2" borderId="41" xfId="1" applyNumberFormat="1" applyFont="1" applyBorder="1" applyAlignment="1">
      <alignment horizontal="left" vertical="center" wrapText="1"/>
      <protection locked="0"/>
    </xf>
    <xf numFmtId="49" fontId="0" fillId="2" borderId="42" xfId="1" applyNumberFormat="1" applyFont="1" applyBorder="1" applyAlignment="1">
      <alignment horizontal="left" vertical="center" wrapText="1"/>
      <protection locked="0"/>
    </xf>
    <xf numFmtId="0" fontId="11" fillId="0" borderId="2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0" fillId="2" borderId="6" xfId="1" applyFont="1" applyBorder="1" applyAlignment="1" applyProtection="1">
      <protection locked="0"/>
    </xf>
    <xf numFmtId="0" fontId="0" fillId="2" borderId="8" xfId="1" applyFont="1" applyBorder="1" applyAlignment="1" applyProtection="1">
      <protection locked="0"/>
    </xf>
    <xf numFmtId="0" fontId="13" fillId="2" borderId="6" xfId="1" applyBorder="1" applyAlignment="1" applyProtection="1">
      <protection locked="0"/>
    </xf>
    <xf numFmtId="0" fontId="13" fillId="2" borderId="8" xfId="1" applyBorder="1" applyAlignment="1" applyProtection="1">
      <protection locked="0"/>
    </xf>
    <xf numFmtId="0" fontId="13" fillId="2" borderId="59" xfId="1" applyBorder="1" applyAlignment="1" applyProtection="1">
      <alignment horizontal="left"/>
      <protection locked="0"/>
    </xf>
    <xf numFmtId="0" fontId="13" fillId="2" borderId="47" xfId="1" applyBorder="1" applyAlignment="1" applyProtection="1">
      <alignment horizontal="left"/>
      <protection locked="0"/>
    </xf>
    <xf numFmtId="49" fontId="0" fillId="2" borderId="39" xfId="1" applyNumberFormat="1" applyFont="1" applyBorder="1" applyAlignment="1" applyProtection="1">
      <protection locked="0"/>
    </xf>
    <xf numFmtId="49" fontId="0" fillId="2" borderId="13" xfId="1" applyNumberFormat="1" applyFont="1" applyBorder="1" applyAlignment="1" applyProtection="1">
      <protection locked="0"/>
    </xf>
    <xf numFmtId="49" fontId="0" fillId="2" borderId="14" xfId="1" applyNumberFormat="1" applyFont="1" applyBorder="1" applyAlignment="1" applyProtection="1">
      <protection locked="0"/>
    </xf>
    <xf numFmtId="0" fontId="4" fillId="0" borderId="19" xfId="0" applyFont="1" applyFill="1" applyBorder="1" applyAlignment="1">
      <alignment horizontal="center" wrapText="1"/>
    </xf>
    <xf numFmtId="0" fontId="4" fillId="0" borderId="15" xfId="0" applyFont="1" applyFill="1" applyBorder="1" applyAlignment="1">
      <alignment horizontal="center" wrapText="1"/>
    </xf>
    <xf numFmtId="0" fontId="4" fillId="0" borderId="45" xfId="0" applyFont="1" applyFill="1" applyBorder="1" applyAlignment="1">
      <alignment horizontal="center" wrapText="1"/>
    </xf>
    <xf numFmtId="0" fontId="16" fillId="9" borderId="23" xfId="8" applyFont="1" applyFill="1" applyBorder="1" applyAlignment="1">
      <alignment horizontal="left" vertical="center" wrapText="1"/>
    </xf>
    <xf numFmtId="0" fontId="0" fillId="2" borderId="46" xfId="1" applyFont="1" applyBorder="1">
      <protection locked="0"/>
    </xf>
    <xf numFmtId="0" fontId="0" fillId="2" borderId="47" xfId="1" applyFont="1" applyBorder="1">
      <protection locked="0"/>
    </xf>
    <xf numFmtId="0" fontId="0" fillId="0" borderId="16" xfId="0" applyBorder="1" applyAlignment="1">
      <alignment horizontal="right"/>
    </xf>
    <xf numFmtId="0" fontId="0" fillId="0" borderId="17" xfId="0" applyBorder="1" applyAlignment="1">
      <alignment horizontal="right"/>
    </xf>
    <xf numFmtId="0" fontId="0" fillId="0" borderId="43" xfId="0" applyBorder="1" applyAlignment="1">
      <alignment horizontal="right"/>
    </xf>
    <xf numFmtId="0" fontId="11" fillId="7" borderId="6" xfId="3" applyFont="1" applyBorder="1" applyAlignment="1">
      <alignment horizontal="right" wrapText="1"/>
    </xf>
    <xf numFmtId="0" fontId="11" fillId="7" borderId="8" xfId="3" applyFont="1" applyBorder="1" applyAlignment="1">
      <alignment horizontal="right" wrapText="1"/>
    </xf>
    <xf numFmtId="0" fontId="16" fillId="9" borderId="15" xfId="8" applyFont="1" applyFill="1" applyBorder="1" applyAlignment="1">
      <alignment horizontal="left" vertical="center" wrapText="1"/>
    </xf>
    <xf numFmtId="0" fontId="0" fillId="0" borderId="0" xfId="0" applyBorder="1" applyAlignment="1">
      <alignment horizontal="right"/>
    </xf>
    <xf numFmtId="0" fontId="0" fillId="0" borderId="5" xfId="0" applyBorder="1" applyAlignment="1">
      <alignment horizontal="right"/>
    </xf>
    <xf numFmtId="0" fontId="13" fillId="2" borderId="1" xfId="1" applyFont="1" applyBorder="1" applyAlignment="1" applyProtection="1">
      <protection locked="0"/>
    </xf>
    <xf numFmtId="0" fontId="13" fillId="2" borderId="6" xfId="1" applyFont="1" applyBorder="1" applyAlignment="1" applyProtection="1">
      <protection locked="0"/>
    </xf>
    <xf numFmtId="0" fontId="16" fillId="9" borderId="16" xfId="8" applyFont="1" applyFill="1" applyBorder="1" applyAlignment="1">
      <alignment horizontal="right" vertical="center"/>
    </xf>
    <xf numFmtId="0" fontId="16" fillId="9" borderId="17" xfId="8" applyFont="1" applyFill="1" applyBorder="1" applyAlignment="1">
      <alignment horizontal="right" vertical="center"/>
    </xf>
    <xf numFmtId="0" fontId="16" fillId="9" borderId="43" xfId="8" applyFont="1" applyFill="1" applyBorder="1" applyAlignment="1">
      <alignment horizontal="right" vertical="center"/>
    </xf>
    <xf numFmtId="0" fontId="32" fillId="10" borderId="6" xfId="8" applyFont="1" applyFill="1" applyBorder="1" applyAlignment="1">
      <alignment horizontal="left"/>
    </xf>
    <xf numFmtId="0" fontId="32" fillId="10" borderId="8" xfId="8" applyFont="1" applyFill="1" applyBorder="1" applyAlignment="1">
      <alignment horizontal="left"/>
    </xf>
    <xf numFmtId="0" fontId="19" fillId="11" borderId="36" xfId="0" applyFont="1" applyFill="1" applyBorder="1" applyAlignment="1">
      <alignment horizontal="center" vertical="center" wrapText="1"/>
    </xf>
    <xf numFmtId="0" fontId="19" fillId="11" borderId="37" xfId="0" applyFont="1" applyFill="1" applyBorder="1" applyAlignment="1">
      <alignment horizontal="center" vertical="center" wrapText="1"/>
    </xf>
    <xf numFmtId="0" fontId="11" fillId="5" borderId="1" xfId="9" applyAlignment="1">
      <alignment horizontal="center" wrapText="1"/>
    </xf>
    <xf numFmtId="0" fontId="16" fillId="9" borderId="16" xfId="8" applyFont="1" applyFill="1" applyBorder="1" applyAlignment="1">
      <alignment horizontal="center" vertical="center" wrapText="1"/>
    </xf>
    <xf numFmtId="0" fontId="16" fillId="9" borderId="17" xfId="8" applyFont="1" applyFill="1" applyBorder="1" applyAlignment="1">
      <alignment horizontal="center" vertical="center" wrapText="1"/>
    </xf>
    <xf numFmtId="0" fontId="16" fillId="9" borderId="18" xfId="8" applyFont="1" applyFill="1" applyBorder="1" applyAlignment="1">
      <alignment horizontal="center" vertical="center" wrapText="1"/>
    </xf>
    <xf numFmtId="0" fontId="0" fillId="2" borderId="4" xfId="1" applyFont="1" applyBorder="1" applyProtection="1">
      <protection locked="0"/>
    </xf>
    <xf numFmtId="0" fontId="13" fillId="2" borderId="4" xfId="1" applyBorder="1" applyProtection="1">
      <protection locked="0"/>
    </xf>
    <xf numFmtId="0" fontId="10" fillId="0" borderId="26" xfId="0" applyFont="1" applyFill="1" applyBorder="1" applyAlignment="1">
      <alignment horizontal="right" vertical="center" textRotation="90" wrapText="1"/>
    </xf>
    <xf numFmtId="0" fontId="10" fillId="0" borderId="23" xfId="0" applyFont="1" applyFill="1" applyBorder="1" applyAlignment="1">
      <alignment horizontal="right" vertical="center" textRotation="90"/>
    </xf>
    <xf numFmtId="0" fontId="15" fillId="0" borderId="0" xfId="8" applyAlignment="1">
      <alignment horizontal="left" vertical="top" wrapText="1"/>
    </xf>
    <xf numFmtId="0" fontId="6" fillId="2" borderId="6" xfId="1" applyFont="1" applyBorder="1" applyAlignment="1" applyProtection="1">
      <alignment horizontal="left" wrapText="1"/>
      <protection locked="0"/>
    </xf>
    <xf numFmtId="0" fontId="6" fillId="2" borderId="7" xfId="1" applyFont="1" applyBorder="1" applyAlignment="1" applyProtection="1">
      <alignment horizontal="left" wrapText="1"/>
      <protection locked="0"/>
    </xf>
    <xf numFmtId="0" fontId="6" fillId="2" borderId="8" xfId="1" applyFont="1" applyBorder="1" applyAlignment="1" applyProtection="1">
      <alignment horizontal="left" wrapText="1"/>
      <protection locked="0"/>
    </xf>
    <xf numFmtId="0" fontId="13" fillId="2" borderId="6" xfId="1" applyBorder="1" applyAlignment="1" applyProtection="1">
      <alignment horizontal="left" wrapText="1"/>
      <protection locked="0"/>
    </xf>
    <xf numFmtId="0" fontId="13" fillId="2" borderId="7" xfId="1" applyBorder="1" applyAlignment="1" applyProtection="1">
      <alignment horizontal="left" wrapText="1"/>
      <protection locked="0"/>
    </xf>
    <xf numFmtId="0" fontId="13" fillId="2" borderId="8" xfId="1" applyBorder="1" applyAlignment="1" applyProtection="1">
      <alignment horizontal="left" wrapText="1"/>
      <protection locked="0"/>
    </xf>
    <xf numFmtId="0" fontId="13" fillId="2" borderId="6" xfId="1" applyBorder="1" applyAlignment="1" applyProtection="1">
      <alignment vertical="center" wrapText="1"/>
      <protection locked="0"/>
    </xf>
    <xf numFmtId="0" fontId="13" fillId="2" borderId="7" xfId="1" applyBorder="1" applyAlignment="1" applyProtection="1">
      <alignment vertical="center" wrapText="1"/>
      <protection locked="0"/>
    </xf>
    <xf numFmtId="0" fontId="13" fillId="2" borderId="8" xfId="1" applyBorder="1" applyAlignment="1" applyProtection="1">
      <alignment vertical="center" wrapText="1"/>
      <protection locked="0"/>
    </xf>
    <xf numFmtId="0" fontId="17" fillId="3" borderId="1" xfId="2" applyFont="1" applyAlignment="1">
      <alignment horizontal="right"/>
    </xf>
    <xf numFmtId="0" fontId="0" fillId="2" borderId="6" xfId="1" applyFont="1" applyBorder="1" applyAlignment="1" applyProtection="1">
      <alignment horizontal="left" wrapText="1"/>
      <protection locked="0"/>
    </xf>
    <xf numFmtId="0" fontId="43" fillId="0" borderId="26" xfId="8" applyFont="1" applyFill="1" applyBorder="1" applyAlignment="1">
      <alignment vertical="center" wrapText="1"/>
    </xf>
    <xf numFmtId="0" fontId="43" fillId="0" borderId="20" xfId="8" applyFont="1" applyFill="1" applyBorder="1" applyAlignment="1">
      <alignment vertical="center" wrapText="1"/>
    </xf>
    <xf numFmtId="0" fontId="43" fillId="0" borderId="57" xfId="8" applyFont="1" applyFill="1" applyBorder="1" applyAlignment="1">
      <alignment vertical="center" wrapText="1"/>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0" fillId="2" borderId="1" xfId="1" applyFont="1" applyAlignment="1" applyProtection="1">
      <alignment wrapText="1"/>
      <protection locked="0"/>
    </xf>
    <xf numFmtId="0" fontId="13" fillId="2" borderId="1" xfId="1" applyAlignment="1" applyProtection="1">
      <alignment wrapText="1"/>
      <protection locked="0"/>
    </xf>
    <xf numFmtId="0" fontId="34" fillId="0" borderId="13" xfId="8" applyFont="1" applyBorder="1" applyAlignment="1">
      <alignment vertical="center" wrapText="1"/>
    </xf>
    <xf numFmtId="0" fontId="13" fillId="2" borderId="1" xfId="1" applyBorder="1" applyAlignment="1" applyProtection="1">
      <alignment horizontal="left"/>
      <protection locked="0"/>
    </xf>
    <xf numFmtId="0" fontId="11" fillId="5" borderId="1" xfId="3" applyFont="1" applyFill="1" applyBorder="1" applyAlignment="1">
      <alignment horizontal="center" wrapText="1"/>
    </xf>
    <xf numFmtId="0" fontId="13" fillId="2" borderId="8" xfId="1" applyFont="1" applyBorder="1" applyAlignment="1" applyProtection="1">
      <protection locked="0"/>
    </xf>
    <xf numFmtId="166" fontId="42" fillId="0" borderId="39" xfId="8" applyNumberFormat="1" applyFont="1" applyBorder="1" applyAlignment="1">
      <alignment horizontal="center" vertical="center" wrapText="1"/>
    </xf>
    <xf numFmtId="166" fontId="42" fillId="0" borderId="13" xfId="8" applyNumberFormat="1" applyFont="1" applyBorder="1" applyAlignment="1">
      <alignment horizontal="center" vertical="center" wrapText="1"/>
    </xf>
    <xf numFmtId="166" fontId="42" fillId="0" borderId="14" xfId="8" applyNumberFormat="1" applyFont="1" applyBorder="1" applyAlignment="1">
      <alignment horizontal="center" vertical="center" wrapText="1"/>
    </xf>
    <xf numFmtId="166" fontId="42" fillId="0" borderId="9" xfId="8" applyNumberFormat="1" applyFont="1" applyBorder="1" applyAlignment="1">
      <alignment horizontal="center" vertical="center" wrapText="1"/>
    </xf>
    <xf numFmtId="166" fontId="42" fillId="0" borderId="10" xfId="8" applyNumberFormat="1" applyFont="1" applyBorder="1" applyAlignment="1">
      <alignment horizontal="center" vertical="center" wrapText="1"/>
    </xf>
    <xf numFmtId="166" fontId="42" fillId="0" borderId="65" xfId="8" applyNumberFormat="1" applyFont="1" applyBorder="1" applyAlignment="1">
      <alignment horizontal="center" vertical="center" wrapText="1"/>
    </xf>
    <xf numFmtId="0" fontId="31" fillId="0" borderId="16" xfId="14" applyFont="1" applyFill="1" applyBorder="1" applyAlignment="1">
      <alignment horizontal="left" vertical="center" wrapText="1"/>
    </xf>
    <xf numFmtId="0" fontId="31" fillId="0" borderId="17" xfId="14" applyFont="1" applyFill="1" applyBorder="1" applyAlignment="1">
      <alignment horizontal="left" vertical="center" wrapText="1"/>
    </xf>
    <xf numFmtId="0" fontId="31" fillId="0" borderId="18" xfId="14" applyFont="1" applyFill="1" applyBorder="1" applyAlignment="1">
      <alignment horizontal="left" vertical="center" wrapText="1"/>
    </xf>
    <xf numFmtId="0" fontId="42" fillId="0" borderId="13" xfId="8" applyFont="1" applyBorder="1" applyAlignment="1">
      <alignment horizontal="center" vertical="center" wrapText="1"/>
    </xf>
    <xf numFmtId="0" fontId="42" fillId="0" borderId="53" xfId="8" applyFont="1" applyBorder="1" applyAlignment="1">
      <alignment horizontal="center" vertical="center" wrapText="1"/>
    </xf>
    <xf numFmtId="0" fontId="42" fillId="0" borderId="9" xfId="8" applyFont="1" applyBorder="1" applyAlignment="1">
      <alignment horizontal="center" vertical="center" wrapText="1"/>
    </xf>
    <xf numFmtId="0" fontId="42" fillId="0" borderId="10" xfId="8" applyFont="1" applyBorder="1" applyAlignment="1">
      <alignment horizontal="center" vertical="center" wrapText="1"/>
    </xf>
    <xf numFmtId="0" fontId="42" fillId="0" borderId="54" xfId="8" applyFont="1" applyBorder="1" applyAlignment="1">
      <alignment horizontal="center" vertical="center" wrapText="1"/>
    </xf>
    <xf numFmtId="0" fontId="6" fillId="2" borderId="1" xfId="1" applyFont="1" applyAlignment="1" applyProtection="1">
      <alignment wrapText="1"/>
      <protection locked="0"/>
    </xf>
    <xf numFmtId="0" fontId="13" fillId="2" borderId="1" xfId="1" applyAlignment="1" applyProtection="1">
      <alignment vertical="center" wrapText="1"/>
      <protection locked="0"/>
    </xf>
    <xf numFmtId="0" fontId="13" fillId="2" borderId="6" xfId="1" applyBorder="1" applyAlignment="1" applyProtection="1">
      <alignment wrapText="1"/>
      <protection locked="0"/>
    </xf>
    <xf numFmtId="0" fontId="13" fillId="2" borderId="7" xfId="1" applyBorder="1" applyAlignment="1" applyProtection="1">
      <alignment wrapText="1"/>
      <protection locked="0"/>
    </xf>
    <xf numFmtId="0" fontId="13" fillId="2" borderId="8" xfId="1" applyBorder="1" applyAlignment="1" applyProtection="1">
      <alignment wrapText="1"/>
      <protection locked="0"/>
    </xf>
    <xf numFmtId="0" fontId="36" fillId="0" borderId="0" xfId="0" applyFont="1" applyBorder="1" applyAlignment="1">
      <alignment vertical="center" wrapText="1"/>
    </xf>
    <xf numFmtId="0" fontId="0" fillId="0" borderId="6" xfId="0" applyBorder="1"/>
    <xf numFmtId="0" fontId="0" fillId="0" borderId="7" xfId="0" applyBorder="1"/>
    <xf numFmtId="0" fontId="13" fillId="2" borderId="1" xfId="1" applyAlignment="1" applyProtection="1">
      <alignment horizontal="left" wrapText="1"/>
      <protection locked="0"/>
    </xf>
    <xf numFmtId="0" fontId="6" fillId="2" borderId="6" xfId="1" applyFont="1" applyBorder="1" applyAlignment="1" applyProtection="1">
      <alignment wrapText="1"/>
      <protection locked="0"/>
    </xf>
    <xf numFmtId="0" fontId="6" fillId="2" borderId="7" xfId="1" applyFont="1" applyBorder="1" applyAlignment="1" applyProtection="1">
      <alignment wrapText="1"/>
      <protection locked="0"/>
    </xf>
    <xf numFmtId="0" fontId="6" fillId="2" borderId="8" xfId="1" applyFont="1" applyBorder="1" applyAlignment="1" applyProtection="1">
      <alignment wrapText="1"/>
      <protection locked="0"/>
    </xf>
    <xf numFmtId="0" fontId="13" fillId="2" borderId="1" xfId="1" applyAlignment="1" applyProtection="1">
      <protection locked="0"/>
    </xf>
    <xf numFmtId="0" fontId="22" fillId="7" borderId="4" xfId="3" applyFont="1" applyBorder="1" applyAlignment="1">
      <alignment horizontal="right" vertical="center" textRotation="90" wrapText="1"/>
    </xf>
    <xf numFmtId="0" fontId="22" fillId="7" borderId="15" xfId="3" applyFont="1" applyBorder="1" applyAlignment="1">
      <alignment horizontal="right" vertical="center" textRotation="90" wrapText="1"/>
    </xf>
    <xf numFmtId="0" fontId="22" fillId="7" borderId="11" xfId="3" applyFont="1" applyBorder="1" applyAlignment="1">
      <alignment horizontal="right" vertical="center" textRotation="90" wrapText="1"/>
    </xf>
    <xf numFmtId="0" fontId="43" fillId="0" borderId="46" xfId="8" applyFont="1" applyFill="1" applyBorder="1" applyAlignment="1">
      <alignment vertical="top" wrapText="1"/>
    </xf>
    <xf numFmtId="0" fontId="43" fillId="0" borderId="49" xfId="8" applyFont="1" applyFill="1" applyBorder="1" applyAlignment="1">
      <alignment vertical="top" wrapText="1"/>
    </xf>
    <xf numFmtId="0" fontId="43" fillId="0" borderId="50" xfId="8" applyFont="1" applyFill="1" applyBorder="1" applyAlignment="1">
      <alignment vertical="top" wrapText="1"/>
    </xf>
    <xf numFmtId="0" fontId="0" fillId="2" borderId="1" xfId="1" applyFont="1" applyAlignment="1" applyProtection="1">
      <alignment horizontal="left" wrapText="1"/>
      <protection locked="0"/>
    </xf>
    <xf numFmtId="0" fontId="31" fillId="0" borderId="31" xfId="15" applyFont="1" applyAlignment="1">
      <alignment horizontal="center" vertical="center" wrapText="1"/>
    </xf>
    <xf numFmtId="165" fontId="17" fillId="0" borderId="6" xfId="2" quotePrefix="1" applyNumberFormat="1" applyFill="1" applyBorder="1" applyAlignment="1">
      <alignment horizontal="center"/>
    </xf>
    <xf numFmtId="165" fontId="17" fillId="0" borderId="7" xfId="2" quotePrefix="1" applyNumberFormat="1" applyFill="1" applyBorder="1" applyAlignment="1">
      <alignment horizontal="center"/>
    </xf>
    <xf numFmtId="165" fontId="17" fillId="0" borderId="8" xfId="2" quotePrefix="1" applyNumberFormat="1" applyFill="1" applyBorder="1" applyAlignment="1">
      <alignment horizontal="center"/>
    </xf>
    <xf numFmtId="0" fontId="31" fillId="0" borderId="31" xfId="15" applyFont="1">
      <alignment horizontal="center" vertical="center" wrapText="1"/>
    </xf>
    <xf numFmtId="0" fontId="45" fillId="0" borderId="60" xfId="8" applyFont="1" applyBorder="1" applyAlignment="1">
      <alignment vertical="center" wrapText="1"/>
    </xf>
    <xf numFmtId="0" fontId="45" fillId="0" borderId="61" xfId="8" applyFont="1" applyBorder="1" applyAlignment="1">
      <alignment vertical="center" wrapText="1"/>
    </xf>
    <xf numFmtId="0" fontId="45" fillId="0" borderId="62" xfId="8" applyFont="1" applyBorder="1" applyAlignment="1">
      <alignment vertical="center" wrapText="1"/>
    </xf>
    <xf numFmtId="0" fontId="31" fillId="9" borderId="16" xfId="14" applyFont="1" applyFill="1" applyBorder="1" applyAlignment="1">
      <alignment horizontal="left" vertical="center" wrapText="1"/>
    </xf>
    <xf numFmtId="0" fontId="31" fillId="9" borderId="17" xfId="14" applyFont="1" applyFill="1" applyBorder="1" applyAlignment="1">
      <alignment horizontal="left" vertical="center" wrapText="1"/>
    </xf>
    <xf numFmtId="0" fontId="31" fillId="9" borderId="18" xfId="14" applyFont="1" applyFill="1" applyBorder="1" applyAlignment="1">
      <alignment horizontal="left" vertical="center" wrapText="1"/>
    </xf>
    <xf numFmtId="0" fontId="4" fillId="8" borderId="6" xfId="3" applyFont="1" applyFill="1" applyBorder="1" applyAlignment="1">
      <alignment horizontal="center" wrapText="1"/>
    </xf>
    <xf numFmtId="0" fontId="4" fillId="8" borderId="7" xfId="3" applyFont="1" applyFill="1" applyBorder="1" applyAlignment="1">
      <alignment horizontal="center" wrapText="1"/>
    </xf>
    <xf numFmtId="0" fontId="4" fillId="8" borderId="8" xfId="3" applyFont="1" applyFill="1" applyBorder="1" applyAlignment="1">
      <alignment horizontal="center" wrapText="1"/>
    </xf>
    <xf numFmtId="16" fontId="13" fillId="2" borderId="1" xfId="1" applyNumberFormat="1" applyAlignment="1" applyProtection="1">
      <protection locked="0"/>
    </xf>
    <xf numFmtId="0" fontId="45" fillId="0" borderId="63" xfId="8" applyFont="1" applyBorder="1" applyAlignment="1">
      <alignment vertical="center" wrapText="1"/>
    </xf>
    <xf numFmtId="0" fontId="45" fillId="0" borderId="49" xfId="8" applyFont="1" applyBorder="1" applyAlignment="1">
      <alignment vertical="center" wrapText="1"/>
    </xf>
    <xf numFmtId="0" fontId="45" fillId="0" borderId="50" xfId="8" applyFont="1" applyBorder="1" applyAlignment="1">
      <alignment vertical="center" wrapText="1"/>
    </xf>
    <xf numFmtId="0" fontId="31" fillId="5" borderId="16" xfId="9" applyFont="1" applyBorder="1" applyAlignment="1">
      <alignment horizontal="left" vertical="center" wrapText="1"/>
    </xf>
    <xf numFmtId="0" fontId="31" fillId="5" borderId="17" xfId="9" applyFont="1" applyBorder="1" applyAlignment="1">
      <alignment horizontal="left" vertical="center" wrapText="1"/>
    </xf>
    <xf numFmtId="0" fontId="31" fillId="5" borderId="18" xfId="9" applyFont="1" applyBorder="1" applyAlignment="1">
      <alignment horizontal="left" vertical="center" wrapText="1"/>
    </xf>
    <xf numFmtId="0" fontId="45" fillId="0" borderId="10" xfId="8" applyFont="1" applyBorder="1" applyAlignment="1">
      <alignment vertical="center" wrapText="1"/>
    </xf>
    <xf numFmtId="0" fontId="45" fillId="0" borderId="54" xfId="8" applyFont="1" applyBorder="1" applyAlignment="1">
      <alignment vertical="center" wrapText="1"/>
    </xf>
    <xf numFmtId="0" fontId="43" fillId="0" borderId="63" xfId="8" applyFont="1" applyFill="1" applyBorder="1" applyAlignment="1">
      <alignment vertical="center" wrapText="1"/>
    </xf>
    <xf numFmtId="0" fontId="43" fillId="0" borderId="10" xfId="8" applyFont="1" applyFill="1" applyBorder="1" applyAlignment="1">
      <alignment vertical="center" wrapText="1"/>
    </xf>
    <xf numFmtId="0" fontId="43" fillId="0" borderId="54" xfId="8" applyFont="1" applyFill="1" applyBorder="1" applyAlignment="1">
      <alignment vertical="center" wrapText="1"/>
    </xf>
    <xf numFmtId="0" fontId="43" fillId="0" borderId="23" xfId="8" applyFont="1" applyFill="1" applyBorder="1" applyAlignment="1">
      <alignment vertical="center" wrapText="1"/>
    </xf>
    <xf numFmtId="0" fontId="43" fillId="0" borderId="0" xfId="8" applyFont="1" applyFill="1" applyBorder="1" applyAlignment="1">
      <alignment vertical="center" wrapText="1"/>
    </xf>
    <xf numFmtId="0" fontId="43" fillId="0" borderId="64" xfId="8" applyFont="1" applyFill="1" applyBorder="1" applyAlignment="1">
      <alignment vertical="center" wrapText="1"/>
    </xf>
    <xf numFmtId="0" fontId="15" fillId="0" borderId="55" xfId="8" applyBorder="1" applyAlignment="1">
      <alignment horizontal="left" vertical="top" wrapText="1"/>
    </xf>
    <xf numFmtId="165" fontId="0" fillId="0" borderId="52" xfId="0" applyNumberFormat="1" applyBorder="1" applyAlignment="1">
      <alignment horizontal="center"/>
    </xf>
    <xf numFmtId="0" fontId="40" fillId="12" borderId="51" xfId="19" applyFont="1" applyBorder="1" applyAlignment="1">
      <alignment horizontal="center" wrapText="1"/>
    </xf>
    <xf numFmtId="0" fontId="38" fillId="0" borderId="0" xfId="17" applyBorder="1" applyAlignment="1">
      <alignment horizontal="center"/>
    </xf>
  </cellXfs>
  <cellStyles count="20">
    <cellStyle name="Accent4" xfId="19" builtinId="41"/>
    <cellStyle name="Calculation" xfId="2" builtinId="22" customBuiltin="1"/>
    <cellStyle name="Comma 2" xfId="11"/>
    <cellStyle name="Explanatory Text" xfId="8" builtinId="53" customBuiltin="1"/>
    <cellStyle name="Heading 1" xfId="17" builtinId="16"/>
    <cellStyle name="Input" xfId="1" builtinId="20" customBuiltin="1"/>
    <cellStyle name="Label or Prompt" xfId="3"/>
    <cellStyle name="Major_Heading" xfId="9"/>
    <cellStyle name="My Heading 1" xfId="5"/>
    <cellStyle name="My Heading 2" xfId="6"/>
    <cellStyle name="My Heading 3" xfId="7"/>
    <cellStyle name="My Title" xfId="4"/>
    <cellStyle name="My Title 2" xfId="15"/>
    <cellStyle name="Normal" xfId="0" builtinId="0" customBuiltin="1"/>
    <cellStyle name="Normal 2" xfId="10"/>
    <cellStyle name="Normal 3" xfId="12"/>
    <cellStyle name="Normal 4" xfId="16"/>
    <cellStyle name="Normal 5" xfId="18"/>
    <cellStyle name="Percent" xfId="13" builtinId="5"/>
    <cellStyle name="Title" xfId="14" builtinId="15"/>
  </cellStyles>
  <dxfs count="24">
    <dxf>
      <alignment vertical="center" textRotation="0" indent="0" justifyLastLine="0" shrinkToFit="0" readingOrder="0"/>
    </dxf>
    <dxf>
      <numFmt numFmtId="19" formatCode="m/d/yyyy"/>
      <alignment horizontal="right" vertical="center" textRotation="0" indent="0" justifyLastLine="0" shrinkToFit="0" readingOrder="0"/>
    </dxf>
    <dxf>
      <numFmt numFmtId="166" formatCode="0.0"/>
      <alignment vertical="center" textRotation="0" indent="0" justifyLastLine="0" shrinkToFit="0" readingOrder="0"/>
    </dxf>
    <dxf>
      <alignment vertical="center"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right" vertical="bottom" textRotation="0" wrapText="1" indent="0" justifyLastLine="0" shrinkToFit="0" readingOrder="0"/>
    </dxf>
    <dxf>
      <font>
        <b val="0"/>
        <i val="0"/>
        <color rgb="FFC00000"/>
      </font>
      <fill>
        <patternFill>
          <bgColor rgb="FFFFFF00"/>
        </patternFill>
      </fill>
    </dxf>
  </dxfs>
  <tableStyles count="0" defaultTableStyle="TableStyleMedium2" defaultPivotStyle="PivotStyleLight16"/>
  <colors>
    <mruColors>
      <color rgb="FF996633"/>
      <color rgb="FFFFFF00"/>
      <color rgb="FFFF6600"/>
      <color rgb="FF7F7F7F"/>
      <color rgb="FFFFFF99"/>
      <color rgb="FF663300"/>
      <color rgb="FF3399FF"/>
      <color rgb="FF333399"/>
      <color rgb="FF33CC33"/>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kelley/Box/(A)%20My%20Files/Land%20Use%20Forms/2019-2020/Access%20-%20All%20Active%20Projects%20-%20PI%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 - Projects DB - PI List"/>
      <sheetName val="Grants DB - PI List"/>
      <sheetName val="Projects DB - Active Projects"/>
    </sheetNames>
    <sheetDataSet>
      <sheetData sheetId="0"/>
      <sheetData sheetId="1">
        <row r="2">
          <cell r="A2" t="str">
            <v>Adams</v>
          </cell>
          <cell r="B2" t="str">
            <v>Joshua</v>
          </cell>
          <cell r="C2"/>
        </row>
        <row r="3">
          <cell r="A3" t="str">
            <v>Ahrendsen</v>
          </cell>
          <cell r="B3" t="str">
            <v>Bruce</v>
          </cell>
          <cell r="C3"/>
        </row>
        <row r="4">
          <cell r="A4" t="str">
            <v>Anders</v>
          </cell>
          <cell r="B4" t="str">
            <v>Merle</v>
          </cell>
          <cell r="C4"/>
        </row>
        <row r="5">
          <cell r="A5" t="str">
            <v>Anthony</v>
          </cell>
          <cell r="B5" t="str">
            <v>Nick</v>
          </cell>
          <cell r="C5" t="str">
            <v>B</v>
          </cell>
        </row>
        <row r="6">
          <cell r="A6" t="str">
            <v>Ashlock</v>
          </cell>
          <cell r="B6" t="str">
            <v>Lanny</v>
          </cell>
          <cell r="C6" t="str">
            <v>O</v>
          </cell>
        </row>
        <row r="7">
          <cell r="A7" t="str">
            <v>Atungulu</v>
          </cell>
          <cell r="B7" t="str">
            <v>G</v>
          </cell>
          <cell r="C7"/>
        </row>
        <row r="8">
          <cell r="A8" t="str">
            <v>Babst</v>
          </cell>
          <cell r="B8" t="str">
            <v>Benjamin</v>
          </cell>
          <cell r="C8"/>
        </row>
        <row r="9">
          <cell r="A9" t="str">
            <v>Bacon</v>
          </cell>
          <cell r="B9" t="str">
            <v>Robert</v>
          </cell>
          <cell r="C9" t="str">
            <v>K</v>
          </cell>
        </row>
        <row r="10">
          <cell r="A10" t="str">
            <v>Baldwin</v>
          </cell>
          <cell r="B10" t="str">
            <v>Vernoice</v>
          </cell>
          <cell r="C10"/>
        </row>
        <row r="11">
          <cell r="A11" t="str">
            <v>Ballard</v>
          </cell>
          <cell r="B11" t="str">
            <v>Karen</v>
          </cell>
          <cell r="C11"/>
        </row>
        <row r="12">
          <cell r="A12" t="str">
            <v>Barabote</v>
          </cell>
          <cell r="B12" t="str">
            <v>Ravi</v>
          </cell>
          <cell r="C12"/>
        </row>
        <row r="13">
          <cell r="A13" t="str">
            <v>Barber,</v>
          </cell>
          <cell r="B13" t="str">
            <v>Tom</v>
          </cell>
          <cell r="C13"/>
        </row>
        <row r="14">
          <cell r="A14" t="str">
            <v>Bataineh</v>
          </cell>
          <cell r="B14" t="str">
            <v>Mohammad</v>
          </cell>
          <cell r="C14"/>
        </row>
        <row r="15">
          <cell r="A15" t="str">
            <v>Baum</v>
          </cell>
          <cell r="B15" t="str">
            <v>Jamie</v>
          </cell>
          <cell r="C15"/>
        </row>
        <row r="16">
          <cell r="A16" t="str">
            <v>Beaty</v>
          </cell>
          <cell r="B16" t="str">
            <v>D</v>
          </cell>
          <cell r="C16"/>
        </row>
        <row r="17">
          <cell r="A17" t="str">
            <v>Beck</v>
          </cell>
          <cell r="B17" t="str">
            <v>Paul</v>
          </cell>
          <cell r="C17"/>
        </row>
        <row r="18">
          <cell r="A18" t="str">
            <v>Bertucci</v>
          </cell>
          <cell r="B18" t="str">
            <v>Matthew</v>
          </cell>
          <cell r="C18"/>
        </row>
        <row r="19">
          <cell r="A19" t="str">
            <v>Bluhm</v>
          </cell>
          <cell r="B19" t="str">
            <v>Burt</v>
          </cell>
          <cell r="C19"/>
        </row>
        <row r="20">
          <cell r="A20" t="str">
            <v>Bottje</v>
          </cell>
          <cell r="B20" t="str">
            <v>Walter</v>
          </cell>
          <cell r="C20" t="str">
            <v>G</v>
          </cell>
        </row>
        <row r="21">
          <cell r="A21" t="str">
            <v>Bourland</v>
          </cell>
          <cell r="B21" t="str">
            <v>Fred</v>
          </cell>
          <cell r="C21" t="str">
            <v>M</v>
          </cell>
        </row>
        <row r="22">
          <cell r="A22" t="str">
            <v>Bryant</v>
          </cell>
          <cell r="B22" t="str">
            <v>Kelly</v>
          </cell>
          <cell r="C22"/>
        </row>
        <row r="23">
          <cell r="A23" t="str">
            <v>Brye</v>
          </cell>
          <cell r="B23" t="str">
            <v>Kristofor</v>
          </cell>
          <cell r="C23" t="str">
            <v>R.</v>
          </cell>
        </row>
        <row r="24">
          <cell r="A24" t="str">
            <v>Burgos</v>
          </cell>
          <cell r="B24" t="str">
            <v>Nilda</v>
          </cell>
          <cell r="C24" t="str">
            <v>R</v>
          </cell>
        </row>
        <row r="25">
          <cell r="A25" t="str">
            <v>Cartwright</v>
          </cell>
          <cell r="B25" t="str">
            <v>Rick</v>
          </cell>
          <cell r="C25"/>
        </row>
        <row r="26">
          <cell r="A26" t="str">
            <v>Childs</v>
          </cell>
          <cell r="B26" t="str">
            <v>Lisa C.</v>
          </cell>
          <cell r="C26"/>
        </row>
        <row r="27">
          <cell r="A27" t="str">
            <v>Clark</v>
          </cell>
          <cell r="B27" t="str">
            <v>Shawn</v>
          </cell>
          <cell r="C27"/>
        </row>
        <row r="28">
          <cell r="A28" t="str">
            <v>Clark</v>
          </cell>
          <cell r="B28" t="str">
            <v>Dustan</v>
          </cell>
          <cell r="C28"/>
        </row>
        <row r="29">
          <cell r="A29" t="str">
            <v>Clark</v>
          </cell>
          <cell r="B29" t="str">
            <v>John</v>
          </cell>
          <cell r="C29" t="str">
            <v>R</v>
          </cell>
        </row>
        <row r="30">
          <cell r="A30" t="str">
            <v>Clark</v>
          </cell>
          <cell r="B30" t="str">
            <v>F</v>
          </cell>
          <cell r="C30" t="str">
            <v>Dustan</v>
          </cell>
        </row>
        <row r="31">
          <cell r="A31" t="str">
            <v>Cochran</v>
          </cell>
          <cell r="B31" t="str">
            <v>Mark</v>
          </cell>
          <cell r="C31" t="str">
            <v>J</v>
          </cell>
        </row>
        <row r="32">
          <cell r="A32" t="str">
            <v>Coffey</v>
          </cell>
          <cell r="B32" t="str">
            <v>Ken</v>
          </cell>
          <cell r="C32" t="str">
            <v>P</v>
          </cell>
        </row>
        <row r="33">
          <cell r="A33" t="str">
            <v>Conatser</v>
          </cell>
          <cell r="B33" t="str">
            <v>Matt</v>
          </cell>
          <cell r="C33"/>
        </row>
        <row r="34">
          <cell r="A34" t="str">
            <v>Coon</v>
          </cell>
          <cell r="B34" t="str">
            <v>Craig</v>
          </cell>
          <cell r="C34" t="str">
            <v>N</v>
          </cell>
        </row>
        <row r="35">
          <cell r="A35" t="str">
            <v>Correll</v>
          </cell>
          <cell r="B35" t="str">
            <v>James</v>
          </cell>
          <cell r="C35" t="str">
            <v>C</v>
          </cell>
        </row>
        <row r="36">
          <cell r="A36" t="str">
            <v>Correll</v>
          </cell>
          <cell r="B36" t="str">
            <v>Jim</v>
          </cell>
          <cell r="C36"/>
        </row>
        <row r="37">
          <cell r="A37" t="str">
            <v>Costello</v>
          </cell>
          <cell r="B37" t="str">
            <v>Tom</v>
          </cell>
          <cell r="C37" t="str">
            <v>A</v>
          </cell>
        </row>
        <row r="38">
          <cell r="A38" t="str">
            <v>Counce</v>
          </cell>
          <cell r="B38" t="str">
            <v>Paul</v>
          </cell>
          <cell r="C38" t="str">
            <v>A</v>
          </cell>
        </row>
        <row r="39">
          <cell r="A39" t="str">
            <v>Crandall</v>
          </cell>
          <cell r="B39" t="str">
            <v>Phillip</v>
          </cell>
          <cell r="C39" t="str">
            <v>G</v>
          </cell>
        </row>
        <row r="40">
          <cell r="A40" t="str">
            <v>Daniels</v>
          </cell>
          <cell r="B40" t="str">
            <v>Mike</v>
          </cell>
          <cell r="C40"/>
        </row>
        <row r="41">
          <cell r="A41" t="str">
            <v>Dixon</v>
          </cell>
          <cell r="B41" t="str">
            <v>Bruce</v>
          </cell>
          <cell r="C41" t="str">
            <v>L</v>
          </cell>
        </row>
        <row r="42">
          <cell r="A42" t="str">
            <v>Dombek</v>
          </cell>
          <cell r="B42" t="str">
            <v>Don</v>
          </cell>
          <cell r="C42" t="str">
            <v>G</v>
          </cell>
        </row>
        <row r="43">
          <cell r="A43" t="str">
            <v>Donoghue</v>
          </cell>
          <cell r="B43" t="str">
            <v>Dan</v>
          </cell>
          <cell r="C43" t="str">
            <v>J</v>
          </cell>
        </row>
        <row r="44">
          <cell r="A44" t="str">
            <v>Donoghue</v>
          </cell>
          <cell r="B44" t="str">
            <v>Ann</v>
          </cell>
          <cell r="C44"/>
        </row>
        <row r="45">
          <cell r="A45" t="str">
            <v>Dowling</v>
          </cell>
          <cell r="B45" t="str">
            <v>Ashley</v>
          </cell>
          <cell r="C45"/>
        </row>
        <row r="46">
          <cell r="A46" t="str">
            <v>Dridi</v>
          </cell>
          <cell r="B46" t="str">
            <v>Sam</v>
          </cell>
          <cell r="C46"/>
        </row>
        <row r="47">
          <cell r="A47" t="str">
            <v>Durand-Morat</v>
          </cell>
          <cell r="B47" t="str">
            <v>Alvaro</v>
          </cell>
          <cell r="C47"/>
        </row>
        <row r="48">
          <cell r="A48" t="str">
            <v>Earnest</v>
          </cell>
          <cell r="B48" t="str">
            <v>Larry</v>
          </cell>
          <cell r="C48"/>
        </row>
        <row r="49">
          <cell r="A49" t="str">
            <v>Eason</v>
          </cell>
          <cell r="B49" t="str">
            <v>Roger</v>
          </cell>
          <cell r="C49" t="str">
            <v>L</v>
          </cell>
        </row>
        <row r="50">
          <cell r="A50" t="str">
            <v>Edgar</v>
          </cell>
          <cell r="B50" t="str">
            <v>Leslie</v>
          </cell>
          <cell r="C50"/>
        </row>
        <row r="51">
          <cell r="A51" t="str">
            <v>Eizenga</v>
          </cell>
          <cell r="B51" t="str">
            <v>Georgia</v>
          </cell>
          <cell r="C51" t="str">
            <v>C</v>
          </cell>
        </row>
        <row r="52">
          <cell r="A52" t="str">
            <v>Erdman</v>
          </cell>
          <cell r="B52" t="str">
            <v>Kimball</v>
          </cell>
          <cell r="C52"/>
        </row>
        <row r="53">
          <cell r="A53" t="str">
            <v>Erf</v>
          </cell>
          <cell r="B53" t="str">
            <v>Gisela</v>
          </cell>
          <cell r="C53"/>
        </row>
        <row r="54">
          <cell r="A54" t="str">
            <v>Espinoza</v>
          </cell>
          <cell r="B54" t="str">
            <v>L</v>
          </cell>
          <cell r="C54" t="str">
            <v>A</v>
          </cell>
        </row>
        <row r="55">
          <cell r="A55" t="str">
            <v>Evans</v>
          </cell>
          <cell r="B55" t="str">
            <v>Michael</v>
          </cell>
          <cell r="C55" t="str">
            <v>R</v>
          </cell>
        </row>
        <row r="56">
          <cell r="A56" t="str">
            <v>Faske</v>
          </cell>
          <cell r="B56" t="str">
            <v>Travis</v>
          </cell>
          <cell r="C56"/>
        </row>
        <row r="57">
          <cell r="A57" t="str">
            <v>Ficklin</v>
          </cell>
          <cell r="B57" t="str">
            <v>Robert</v>
          </cell>
          <cell r="C57"/>
        </row>
        <row r="58">
          <cell r="A58" t="str">
            <v>Flanders</v>
          </cell>
          <cell r="B58" t="str">
            <v>Archie</v>
          </cell>
          <cell r="C58"/>
        </row>
        <row r="59">
          <cell r="A59" t="str">
            <v>Ford</v>
          </cell>
          <cell r="B59" t="str">
            <v>Vic</v>
          </cell>
          <cell r="C59" t="str">
            <v>L</v>
          </cell>
        </row>
        <row r="60">
          <cell r="A60" t="str">
            <v>Francis</v>
          </cell>
          <cell r="B60" t="str">
            <v>Paul</v>
          </cell>
          <cell r="C60" t="str">
            <v>B</v>
          </cell>
        </row>
        <row r="61">
          <cell r="A61" t="str">
            <v>Garcia</v>
          </cell>
          <cell r="B61" t="str">
            <v>Elena</v>
          </cell>
          <cell r="C61"/>
        </row>
        <row r="62">
          <cell r="A62" t="str">
            <v>Gardisser</v>
          </cell>
          <cell r="B62" t="str">
            <v>Dennis</v>
          </cell>
          <cell r="C62" t="str">
            <v>R</v>
          </cell>
        </row>
        <row r="63">
          <cell r="A63" t="str">
            <v>Gbur</v>
          </cell>
          <cell r="B63" t="str">
            <v>Edward</v>
          </cell>
          <cell r="C63" t="str">
            <v>E</v>
          </cell>
        </row>
        <row r="64">
          <cell r="A64" t="str">
            <v>Gibson</v>
          </cell>
          <cell r="B64" t="str">
            <v>Kristen</v>
          </cell>
          <cell r="C64"/>
        </row>
        <row r="65">
          <cell r="A65" t="str">
            <v>Goggin</v>
          </cell>
          <cell r="B65" t="str">
            <v>Fiona</v>
          </cell>
          <cell r="C65"/>
        </row>
        <row r="66">
          <cell r="A66" t="str">
            <v>Gorham</v>
          </cell>
          <cell r="B66" t="str">
            <v>Bruce</v>
          </cell>
          <cell r="C66"/>
        </row>
        <row r="67">
          <cell r="A67" t="str">
            <v>Green</v>
          </cell>
          <cell r="B67" t="str">
            <v>Steve</v>
          </cell>
          <cell r="C67"/>
        </row>
        <row r="68">
          <cell r="A68" t="str">
            <v>Green</v>
          </cell>
          <cell r="B68" t="str">
            <v>V. Steven</v>
          </cell>
          <cell r="C68"/>
        </row>
        <row r="69">
          <cell r="A69" t="str">
            <v>Griffin</v>
          </cell>
          <cell r="B69" t="str">
            <v>T</v>
          </cell>
          <cell r="C69"/>
        </row>
        <row r="70">
          <cell r="A70" t="str">
            <v>Haggard</v>
          </cell>
          <cell r="B70" t="str">
            <v>Brian</v>
          </cell>
          <cell r="C70" t="str">
            <v>E.</v>
          </cell>
        </row>
        <row r="71">
          <cell r="A71" t="str">
            <v>Halbrook</v>
          </cell>
          <cell r="B71" t="str">
            <v>Steve</v>
          </cell>
          <cell r="C71"/>
        </row>
        <row r="72">
          <cell r="A72" t="str">
            <v>Hardke</v>
          </cell>
          <cell r="B72" t="str">
            <v>J.T.</v>
          </cell>
          <cell r="C72"/>
        </row>
        <row r="73">
          <cell r="A73" t="str">
            <v>Hargis</v>
          </cell>
          <cell r="B73" t="str">
            <v>B</v>
          </cell>
          <cell r="C73" t="str">
            <v>M</v>
          </cell>
        </row>
        <row r="74">
          <cell r="A74" t="str">
            <v>Headlee</v>
          </cell>
          <cell r="B74" t="str">
            <v>William</v>
          </cell>
          <cell r="C74"/>
        </row>
        <row r="75">
          <cell r="A75" t="str">
            <v>Henry</v>
          </cell>
          <cell r="B75" t="str">
            <v>Chris</v>
          </cell>
          <cell r="C75"/>
        </row>
        <row r="76">
          <cell r="A76" t="str">
            <v>Hettiarachchy</v>
          </cell>
          <cell r="B76" t="str">
            <v>Navam</v>
          </cell>
          <cell r="C76"/>
        </row>
        <row r="77">
          <cell r="A77" t="str">
            <v>Hood</v>
          </cell>
          <cell r="B77" t="str">
            <v>Elizabeth</v>
          </cell>
          <cell r="C77"/>
        </row>
        <row r="78">
          <cell r="A78" t="str">
            <v>Howard</v>
          </cell>
          <cell r="B78" t="str">
            <v>Luke</v>
          </cell>
          <cell r="C78" t="str">
            <v>R</v>
          </cell>
        </row>
        <row r="79">
          <cell r="A79" t="str">
            <v>Huang</v>
          </cell>
          <cell r="B79" t="str">
            <v>Xiuzhen</v>
          </cell>
          <cell r="C79"/>
        </row>
        <row r="80">
          <cell r="A80" t="str">
            <v>Huang</v>
          </cell>
          <cell r="B80" t="str">
            <v>Qiuqiong</v>
          </cell>
          <cell r="C80"/>
        </row>
        <row r="81">
          <cell r="A81" t="str">
            <v>Hubbell</v>
          </cell>
          <cell r="B81" t="str">
            <v>Don</v>
          </cell>
          <cell r="C81"/>
        </row>
        <row r="82">
          <cell r="A82" t="str">
            <v>Jennings</v>
          </cell>
          <cell r="B82" t="str">
            <v>J</v>
          </cell>
          <cell r="C82" t="str">
            <v>A</v>
          </cell>
        </row>
        <row r="83">
          <cell r="A83" t="str">
            <v>Johnson</v>
          </cell>
          <cell r="B83" t="str">
            <v>Donn</v>
          </cell>
          <cell r="C83" t="str">
            <v>T</v>
          </cell>
        </row>
        <row r="84">
          <cell r="A84" t="str">
            <v>Johnson</v>
          </cell>
          <cell r="B84" t="str">
            <v>Donald</v>
          </cell>
          <cell r="C84" t="str">
            <v>R</v>
          </cell>
        </row>
        <row r="85">
          <cell r="A85" t="str">
            <v>Johnson</v>
          </cell>
          <cell r="B85" t="str">
            <v>Donald</v>
          </cell>
          <cell r="C85" t="str">
            <v>M</v>
          </cell>
        </row>
        <row r="86">
          <cell r="A86" t="str">
            <v>Joshi</v>
          </cell>
          <cell r="B86" t="str">
            <v>Neelendra</v>
          </cell>
          <cell r="C86"/>
        </row>
        <row r="87">
          <cell r="A87" t="str">
            <v>Karcher</v>
          </cell>
          <cell r="B87" t="str">
            <v>Douglas</v>
          </cell>
          <cell r="C87" t="str">
            <v>E</v>
          </cell>
        </row>
        <row r="88">
          <cell r="A88" t="str">
            <v>Kegley</v>
          </cell>
          <cell r="B88" t="str">
            <v>Elizabeth</v>
          </cell>
          <cell r="C88" t="str">
            <v>Beth</v>
          </cell>
        </row>
        <row r="89">
          <cell r="A89" t="str">
            <v>Kelley</v>
          </cell>
          <cell r="B89" t="str">
            <v>Jason</v>
          </cell>
          <cell r="C89"/>
        </row>
        <row r="90">
          <cell r="A90" t="str">
            <v>Kennedy</v>
          </cell>
          <cell r="B90" t="str">
            <v>Claude</v>
          </cell>
          <cell r="C90"/>
        </row>
        <row r="91">
          <cell r="A91" t="str">
            <v>Kidd</v>
          </cell>
          <cell r="B91" t="str">
            <v>Michael</v>
          </cell>
          <cell r="C91"/>
        </row>
        <row r="92">
          <cell r="A92" t="str">
            <v>Killian</v>
          </cell>
          <cell r="B92" t="str">
            <v>Timothy</v>
          </cell>
          <cell r="C92"/>
        </row>
        <row r="93">
          <cell r="A93" t="str">
            <v>Kim</v>
          </cell>
          <cell r="B93" t="str">
            <v>Jin-Woo</v>
          </cell>
          <cell r="C93"/>
        </row>
        <row r="94">
          <cell r="A94" t="str">
            <v>Kirkpatrick</v>
          </cell>
          <cell r="B94" t="str">
            <v>Terry</v>
          </cell>
          <cell r="C94" t="str">
            <v>L</v>
          </cell>
        </row>
        <row r="95">
          <cell r="A95" t="str">
            <v>Klerk</v>
          </cell>
          <cell r="B95" t="str">
            <v>Richard</v>
          </cell>
          <cell r="C95" t="str">
            <v>A</v>
          </cell>
        </row>
        <row r="96">
          <cell r="A96" t="str">
            <v>Kong</v>
          </cell>
          <cell r="B96" t="str">
            <v>Byung-Whi</v>
          </cell>
          <cell r="C96"/>
        </row>
        <row r="97">
          <cell r="A97" t="str">
            <v>Korth</v>
          </cell>
          <cell r="B97" t="str">
            <v>Kenneth</v>
          </cell>
          <cell r="C97" t="str">
            <v>L</v>
          </cell>
        </row>
        <row r="98">
          <cell r="A98" t="str">
            <v>Kovacs</v>
          </cell>
          <cell r="B98" t="str">
            <v>Kent</v>
          </cell>
          <cell r="C98"/>
        </row>
        <row r="99">
          <cell r="A99" t="str">
            <v>Kuenzel</v>
          </cell>
          <cell r="B99" t="str">
            <v>Wayne</v>
          </cell>
          <cell r="C99" t="str">
            <v>J</v>
          </cell>
        </row>
        <row r="100">
          <cell r="A100" t="str">
            <v>Kwon</v>
          </cell>
          <cell r="B100" t="str">
            <v>Young Min</v>
          </cell>
          <cell r="C100"/>
        </row>
        <row r="101">
          <cell r="A101" t="str">
            <v>Lee</v>
          </cell>
          <cell r="B101" t="str">
            <v>Sun-Ok</v>
          </cell>
          <cell r="C101"/>
        </row>
        <row r="102">
          <cell r="A102" t="str">
            <v>Li</v>
          </cell>
          <cell r="B102" t="str">
            <v>Yanbin</v>
          </cell>
          <cell r="C102"/>
        </row>
        <row r="103">
          <cell r="A103" t="str">
            <v>Liang</v>
          </cell>
          <cell r="B103" t="str">
            <v>Yi</v>
          </cell>
          <cell r="C103"/>
        </row>
        <row r="104">
          <cell r="A104" t="str">
            <v>Liechty</v>
          </cell>
          <cell r="B104" t="str">
            <v>Hal</v>
          </cell>
          <cell r="C104" t="str">
            <v>O</v>
          </cell>
        </row>
        <row r="105">
          <cell r="A105" t="str">
            <v>Limp</v>
          </cell>
          <cell r="B105" t="str">
            <v>W</v>
          </cell>
          <cell r="C105" t="str">
            <v>F</v>
          </cell>
        </row>
        <row r="106">
          <cell r="A106" t="str">
            <v>Loftin</v>
          </cell>
          <cell r="B106" t="str">
            <v>Kelly</v>
          </cell>
          <cell r="C106"/>
        </row>
        <row r="107">
          <cell r="A107" t="str">
            <v>Looper</v>
          </cell>
          <cell r="B107" t="str">
            <v>Michael</v>
          </cell>
          <cell r="C107"/>
        </row>
        <row r="108">
          <cell r="A108" t="str">
            <v>Lorenz</v>
          </cell>
          <cell r="B108" t="str">
            <v>Gus</v>
          </cell>
          <cell r="C108" t="str">
            <v>M</v>
          </cell>
        </row>
        <row r="109">
          <cell r="A109" t="str">
            <v>Luckstead</v>
          </cell>
          <cell r="B109" t="str">
            <v>Jeff</v>
          </cell>
          <cell r="C109"/>
        </row>
        <row r="110">
          <cell r="A110" t="str">
            <v>Mackay</v>
          </cell>
          <cell r="B110" t="str">
            <v>Wayne</v>
          </cell>
          <cell r="C110"/>
        </row>
        <row r="111">
          <cell r="A111" t="str">
            <v>Mason</v>
          </cell>
          <cell r="B111" t="str">
            <v>Richard</v>
          </cell>
          <cell r="C111" t="str">
            <v>Esten</v>
          </cell>
        </row>
        <row r="112">
          <cell r="A112" t="str">
            <v>Mauromoustakos</v>
          </cell>
          <cell r="B112" t="str">
            <v>Andy</v>
          </cell>
          <cell r="C112"/>
        </row>
        <row r="113">
          <cell r="A113" t="str">
            <v>Maxwell</v>
          </cell>
          <cell r="B113" t="str">
            <v>Charles</v>
          </cell>
          <cell r="C113" t="str">
            <v>V</v>
          </cell>
        </row>
        <row r="114">
          <cell r="A114" t="str">
            <v>McDonald</v>
          </cell>
          <cell r="B114" t="str">
            <v>Garry</v>
          </cell>
          <cell r="C114" t="str">
            <v>V</v>
          </cell>
        </row>
        <row r="115">
          <cell r="A115" t="str">
            <v>McKenzie</v>
          </cell>
          <cell r="B115" t="str">
            <v>Andrew</v>
          </cell>
          <cell r="C115" t="str">
            <v>M</v>
          </cell>
        </row>
        <row r="116">
          <cell r="A116" t="str">
            <v>Mehmood</v>
          </cell>
          <cell r="B116" t="str">
            <v>Sayeed</v>
          </cell>
          <cell r="C116"/>
        </row>
        <row r="117">
          <cell r="A117" t="str">
            <v>Meullenet</v>
          </cell>
          <cell r="B117" t="str">
            <v>Jean-Francois</v>
          </cell>
          <cell r="C117"/>
        </row>
        <row r="118">
          <cell r="A118" t="str">
            <v>Miller</v>
          </cell>
          <cell r="B118" t="str">
            <v>Jefferson</v>
          </cell>
          <cell r="C118" t="str">
            <v>D</v>
          </cell>
        </row>
        <row r="119">
          <cell r="A119" t="str">
            <v>Miller</v>
          </cell>
          <cell r="B119" t="str">
            <v>David</v>
          </cell>
          <cell r="C119" t="str">
            <v>M</v>
          </cell>
        </row>
        <row r="120">
          <cell r="A120" t="str">
            <v>Moldenhauer</v>
          </cell>
          <cell r="B120" t="str">
            <v>Karen</v>
          </cell>
          <cell r="C120" t="str">
            <v>A</v>
          </cell>
        </row>
        <row r="121">
          <cell r="A121" t="str">
            <v>Monfort</v>
          </cell>
          <cell r="B121" t="str">
            <v>Scott</v>
          </cell>
          <cell r="C121"/>
        </row>
        <row r="122">
          <cell r="A122" t="str">
            <v>Moore</v>
          </cell>
          <cell r="B122" t="str">
            <v>Philip</v>
          </cell>
          <cell r="C122" t="str">
            <v>A</v>
          </cell>
        </row>
        <row r="123">
          <cell r="A123" t="str">
            <v>Morawicki</v>
          </cell>
          <cell r="B123" t="str">
            <v>Ruben</v>
          </cell>
          <cell r="C123"/>
        </row>
        <row r="124">
          <cell r="A124" t="str">
            <v>Motes</v>
          </cell>
          <cell r="B124" t="str">
            <v>Dennis</v>
          </cell>
          <cell r="C124" t="str">
            <v>R</v>
          </cell>
        </row>
        <row r="125">
          <cell r="A125" t="str">
            <v>Mozaffari</v>
          </cell>
          <cell r="B125" t="str">
            <v>Morteza</v>
          </cell>
          <cell r="C125"/>
        </row>
        <row r="126">
          <cell r="A126" t="str">
            <v>Mozzoni</v>
          </cell>
          <cell r="B126" t="str">
            <v>Leandro</v>
          </cell>
          <cell r="C126"/>
        </row>
        <row r="127">
          <cell r="A127" t="str">
            <v>Nalley</v>
          </cell>
          <cell r="B127" t="str">
            <v>Lawton</v>
          </cell>
          <cell r="C127"/>
        </row>
        <row r="128">
          <cell r="A128" t="str">
            <v>Nayga</v>
          </cell>
          <cell r="B128" t="str">
            <v>Rodolfo</v>
          </cell>
          <cell r="C128"/>
        </row>
        <row r="129">
          <cell r="A129" t="str">
            <v>Norman</v>
          </cell>
          <cell r="B129" t="str">
            <v>Rick</v>
          </cell>
          <cell r="C129" t="str">
            <v>J</v>
          </cell>
        </row>
        <row r="130">
          <cell r="A130" t="str">
            <v>Norsworthy</v>
          </cell>
          <cell r="B130" t="str">
            <v>Jason</v>
          </cell>
          <cell r="C130"/>
        </row>
        <row r="131">
          <cell r="A131" t="str">
            <v>Osborne</v>
          </cell>
          <cell r="B131" t="str">
            <v>Douglas</v>
          </cell>
          <cell r="C131"/>
        </row>
        <row r="132">
          <cell r="A132" t="str">
            <v>Owens</v>
          </cell>
          <cell r="B132" t="str">
            <v>Casey</v>
          </cell>
          <cell r="C132" t="str">
            <v>M</v>
          </cell>
        </row>
        <row r="133">
          <cell r="A133" t="str">
            <v>Pelkki</v>
          </cell>
          <cell r="B133" t="str">
            <v>Matthew</v>
          </cell>
          <cell r="C133" t="str">
            <v>H.</v>
          </cell>
        </row>
        <row r="134">
          <cell r="A134" t="str">
            <v>Pereira</v>
          </cell>
          <cell r="B134" t="str">
            <v>Andy</v>
          </cell>
          <cell r="C134"/>
        </row>
        <row r="135">
          <cell r="A135" t="str">
            <v>Philipp</v>
          </cell>
          <cell r="B135" t="str">
            <v>Dirk</v>
          </cell>
          <cell r="C135"/>
        </row>
        <row r="136">
          <cell r="A136" t="str">
            <v>Phillips</v>
          </cell>
          <cell r="B136" t="str">
            <v>Gregory</v>
          </cell>
          <cell r="C136"/>
        </row>
        <row r="137">
          <cell r="A137" t="str">
            <v>Pittman</v>
          </cell>
          <cell r="B137" t="str">
            <v>Harrison</v>
          </cell>
          <cell r="C137"/>
        </row>
        <row r="138">
          <cell r="A138" t="str">
            <v>Pohlman</v>
          </cell>
          <cell r="B138" t="str">
            <v>Fred</v>
          </cell>
          <cell r="C138" t="str">
            <v>W</v>
          </cell>
        </row>
        <row r="139">
          <cell r="A139" t="str">
            <v>Popp</v>
          </cell>
          <cell r="B139" t="str">
            <v>Jennie</v>
          </cell>
          <cell r="C139"/>
        </row>
        <row r="140">
          <cell r="A140" t="str">
            <v>Popp</v>
          </cell>
          <cell r="B140" t="str">
            <v>Michael</v>
          </cell>
          <cell r="C140" t="str">
            <v>P</v>
          </cell>
        </row>
        <row r="141">
          <cell r="A141" t="str">
            <v>Pote</v>
          </cell>
          <cell r="B141" t="str">
            <v>Daniel</v>
          </cell>
          <cell r="C141"/>
        </row>
        <row r="142">
          <cell r="A142" t="str">
            <v>POWELL</v>
          </cell>
          <cell r="B142" t="str">
            <v>JEREMY</v>
          </cell>
          <cell r="C142" t="str">
            <v>G.</v>
          </cell>
        </row>
        <row r="143">
          <cell r="A143" t="str">
            <v>Proctor</v>
          </cell>
          <cell r="B143" t="str">
            <v>Andy</v>
          </cell>
          <cell r="C143" t="str">
            <v>Andy</v>
          </cell>
        </row>
        <row r="144">
          <cell r="A144" t="str">
            <v>Purcell</v>
          </cell>
          <cell r="B144" t="str">
            <v>Larry</v>
          </cell>
          <cell r="C144" t="str">
            <v>C</v>
          </cell>
        </row>
        <row r="145">
          <cell r="A145" t="str">
            <v>Rainey</v>
          </cell>
          <cell r="B145" t="str">
            <v>Ron</v>
          </cell>
          <cell r="C145"/>
        </row>
        <row r="146">
          <cell r="A146" t="str">
            <v>Rath</v>
          </cell>
          <cell r="B146" t="str">
            <v>Narayan</v>
          </cell>
          <cell r="C146"/>
        </row>
        <row r="147">
          <cell r="A147" t="str">
            <v>Reba</v>
          </cell>
          <cell r="B147" t="str">
            <v>Michele</v>
          </cell>
          <cell r="C147"/>
        </row>
        <row r="148">
          <cell r="A148" t="str">
            <v>Rhoads</v>
          </cell>
          <cell r="B148" t="str">
            <v>Doug</v>
          </cell>
          <cell r="C148"/>
        </row>
        <row r="149">
          <cell r="A149" t="str">
            <v>Richardson</v>
          </cell>
          <cell r="B149" t="str">
            <v>Mike</v>
          </cell>
          <cell r="C149" t="str">
            <v>D</v>
          </cell>
        </row>
        <row r="150">
          <cell r="A150" t="str">
            <v>Ricke</v>
          </cell>
          <cell r="B150" t="str">
            <v>Steven</v>
          </cell>
          <cell r="C150"/>
        </row>
        <row r="151">
          <cell r="A151" t="str">
            <v>Robbins</v>
          </cell>
          <cell r="B151" t="str">
            <v>Robert</v>
          </cell>
          <cell r="C151" t="str">
            <v>T</v>
          </cell>
        </row>
        <row r="152">
          <cell r="A152" t="str">
            <v>Robbins</v>
          </cell>
          <cell r="B152" t="str">
            <v>J</v>
          </cell>
          <cell r="C152" t="str">
            <v>A</v>
          </cell>
        </row>
        <row r="153">
          <cell r="A153" t="str">
            <v>Roberts</v>
          </cell>
          <cell r="B153" t="str">
            <v>Trent</v>
          </cell>
          <cell r="C153"/>
        </row>
        <row r="154">
          <cell r="A154" t="str">
            <v>Robinson</v>
          </cell>
          <cell r="B154" t="str">
            <v>Julie</v>
          </cell>
          <cell r="C154"/>
        </row>
        <row r="155">
          <cell r="A155" t="str">
            <v>Rochell</v>
          </cell>
          <cell r="B155" t="str">
            <v>Samuel</v>
          </cell>
          <cell r="C155"/>
        </row>
        <row r="156">
          <cell r="A156" t="str">
            <v>Roeder</v>
          </cell>
          <cell r="B156" t="str">
            <v>Richard</v>
          </cell>
          <cell r="C156"/>
        </row>
        <row r="157">
          <cell r="A157" t="str">
            <v>Rorie</v>
          </cell>
          <cell r="B157" t="str">
            <v>Rickey</v>
          </cell>
          <cell r="C157" t="str">
            <v>W</v>
          </cell>
        </row>
        <row r="158">
          <cell r="A158" t="str">
            <v>Rosenkrans</v>
          </cell>
          <cell r="B158" t="str">
            <v>Charles</v>
          </cell>
          <cell r="C158" t="str">
            <v>F</v>
          </cell>
        </row>
        <row r="159">
          <cell r="A159" t="str">
            <v>Ross</v>
          </cell>
          <cell r="B159" t="str">
            <v>W.J.</v>
          </cell>
          <cell r="C159"/>
        </row>
        <row r="160">
          <cell r="A160" t="str">
            <v>Rumley</v>
          </cell>
          <cell r="B160" t="str">
            <v>Elizabeth</v>
          </cell>
          <cell r="C160"/>
        </row>
        <row r="161">
          <cell r="A161" t="str">
            <v>Rumley</v>
          </cell>
          <cell r="B161" t="str">
            <v>Rusty</v>
          </cell>
          <cell r="C161"/>
        </row>
        <row r="162">
          <cell r="A162" t="str">
            <v>Rupe</v>
          </cell>
          <cell r="B162" t="str">
            <v>John</v>
          </cell>
          <cell r="C162" t="str">
            <v>C</v>
          </cell>
        </row>
        <row r="163">
          <cell r="A163" t="str">
            <v>Sadaka</v>
          </cell>
          <cell r="B163" t="str">
            <v>Sammy</v>
          </cell>
          <cell r="C163"/>
        </row>
        <row r="164">
          <cell r="A164" t="str">
            <v>Saraswat</v>
          </cell>
          <cell r="B164" t="str">
            <v>D</v>
          </cell>
          <cell r="C164"/>
        </row>
        <row r="165">
          <cell r="A165" t="str">
            <v>Savary</v>
          </cell>
          <cell r="B165" t="str">
            <v>B</v>
          </cell>
          <cell r="C165"/>
        </row>
        <row r="166">
          <cell r="A166" t="str">
            <v>Savin</v>
          </cell>
          <cell r="B166" t="str">
            <v>Mary</v>
          </cell>
          <cell r="C166" t="str">
            <v>C</v>
          </cell>
        </row>
        <row r="167">
          <cell r="A167" t="str">
            <v>Schuler</v>
          </cell>
          <cell r="B167" t="str">
            <v>Jamie</v>
          </cell>
          <cell r="C167"/>
        </row>
        <row r="168">
          <cell r="A168" t="str">
            <v>Scott</v>
          </cell>
          <cell r="B168" t="str">
            <v>Bob</v>
          </cell>
          <cell r="C168"/>
        </row>
        <row r="169">
          <cell r="A169" t="str">
            <v>Seiter</v>
          </cell>
          <cell r="B169" t="str">
            <v>Nick</v>
          </cell>
          <cell r="C169"/>
        </row>
        <row r="170">
          <cell r="A170" t="str">
            <v>Seo</v>
          </cell>
          <cell r="B170" t="str">
            <v>Han Seok</v>
          </cell>
          <cell r="C170"/>
        </row>
        <row r="171">
          <cell r="A171" t="str">
            <v>Sha</v>
          </cell>
          <cell r="B171" t="str">
            <v>Xueyan</v>
          </cell>
          <cell r="C171"/>
        </row>
        <row r="172">
          <cell r="A172" t="str">
            <v>Shakiba</v>
          </cell>
          <cell r="B172" t="str">
            <v>E</v>
          </cell>
          <cell r="C172"/>
        </row>
        <row r="173">
          <cell r="A173" t="str">
            <v>Sharpley</v>
          </cell>
          <cell r="B173" t="str">
            <v>Andrew</v>
          </cell>
          <cell r="C173"/>
        </row>
        <row r="174">
          <cell r="A174" t="str">
            <v>Shi</v>
          </cell>
          <cell r="B174" t="str">
            <v>Ainong</v>
          </cell>
          <cell r="C174"/>
        </row>
        <row r="175">
          <cell r="A175" t="str">
            <v>Shumway</v>
          </cell>
          <cell r="B175" t="str">
            <v>Calvin</v>
          </cell>
          <cell r="C175"/>
        </row>
        <row r="176">
          <cell r="A176" t="str">
            <v>Siebenmorgen</v>
          </cell>
          <cell r="B176" t="str">
            <v>Terry</v>
          </cell>
          <cell r="C176" t="str">
            <v>J</v>
          </cell>
        </row>
        <row r="177">
          <cell r="A177" t="str">
            <v>Sisco</v>
          </cell>
          <cell r="B177" t="str">
            <v>Mike</v>
          </cell>
          <cell r="C177"/>
        </row>
        <row r="178">
          <cell r="A178" t="str">
            <v>Slaton</v>
          </cell>
          <cell r="B178" t="str">
            <v>Nathan</v>
          </cell>
          <cell r="C178" t="str">
            <v>A</v>
          </cell>
        </row>
        <row r="179">
          <cell r="A179" t="str">
            <v>Smith</v>
          </cell>
          <cell r="B179" t="str">
            <v>Ken</v>
          </cell>
          <cell r="C179" t="str">
            <v>L</v>
          </cell>
        </row>
        <row r="180">
          <cell r="A180" t="str">
            <v>Spradley</v>
          </cell>
          <cell r="B180" t="str">
            <v>James</v>
          </cell>
          <cell r="C180" t="str">
            <v>Ples</v>
          </cell>
        </row>
        <row r="181">
          <cell r="A181" t="str">
            <v>Spurlock</v>
          </cell>
          <cell r="B181" t="str">
            <v>T</v>
          </cell>
          <cell r="C181"/>
        </row>
        <row r="182">
          <cell r="A182" t="str">
            <v>Srivastava</v>
          </cell>
          <cell r="B182" t="str">
            <v>Vibha</v>
          </cell>
          <cell r="C182"/>
        </row>
        <row r="183">
          <cell r="A183" t="str">
            <v>Stark</v>
          </cell>
          <cell r="B183" t="str">
            <v>C. Robert</v>
          </cell>
          <cell r="C183"/>
        </row>
        <row r="184">
          <cell r="A184" t="str">
            <v>Steinkraus</v>
          </cell>
          <cell r="B184" t="str">
            <v>Donald</v>
          </cell>
          <cell r="C184" t="str">
            <v>C</v>
          </cell>
        </row>
        <row r="185">
          <cell r="A185" t="str">
            <v>Stephen</v>
          </cell>
          <cell r="B185" t="str">
            <v>Fred</v>
          </cell>
          <cell r="C185" t="str">
            <v>M</v>
          </cell>
        </row>
        <row r="186">
          <cell r="A186" t="str">
            <v>Stiles</v>
          </cell>
          <cell r="B186" t="str">
            <v>H. Scott</v>
          </cell>
          <cell r="C186"/>
        </row>
        <row r="187">
          <cell r="A187" t="str">
            <v>Studebaker</v>
          </cell>
          <cell r="B187" t="str">
            <v>Glenn</v>
          </cell>
          <cell r="C187"/>
        </row>
        <row r="188">
          <cell r="A188" t="str">
            <v>Stuhlinger</v>
          </cell>
          <cell r="B188" t="str">
            <v>Chris</v>
          </cell>
          <cell r="C188"/>
        </row>
        <row r="189">
          <cell r="A189" t="str">
            <v>Sun</v>
          </cell>
          <cell r="B189" t="str">
            <v>Xiaolun</v>
          </cell>
          <cell r="C189"/>
        </row>
        <row r="190">
          <cell r="A190" t="str">
            <v>Szalanski</v>
          </cell>
          <cell r="B190" t="str">
            <v>Allen</v>
          </cell>
          <cell r="C190" t="str">
            <v>L</v>
          </cell>
        </row>
        <row r="191">
          <cell r="A191" t="str">
            <v>Teague</v>
          </cell>
          <cell r="B191" t="str">
            <v>Tina</v>
          </cell>
          <cell r="C191" t="str">
            <v>G</v>
          </cell>
        </row>
        <row r="192">
          <cell r="A192" t="str">
            <v>Thomsen</v>
          </cell>
          <cell r="B192" t="str">
            <v>Michael</v>
          </cell>
          <cell r="C192" t="str">
            <v>R</v>
          </cell>
        </row>
        <row r="193">
          <cell r="A193" t="str">
            <v>Threllfall</v>
          </cell>
          <cell r="B193" t="str">
            <v>Renee</v>
          </cell>
          <cell r="C193"/>
        </row>
        <row r="194">
          <cell r="A194" t="str">
            <v>Tzanetakis</v>
          </cell>
          <cell r="B194" t="str">
            <v>Ioannis</v>
          </cell>
          <cell r="C194"/>
        </row>
        <row r="195">
          <cell r="A195" t="str">
            <v>Vandevender</v>
          </cell>
          <cell r="B195" t="str">
            <v>Karl</v>
          </cell>
          <cell r="C195"/>
        </row>
        <row r="196">
          <cell r="A196" t="str">
            <v>Verma</v>
          </cell>
          <cell r="B196" t="str">
            <v>Lalit</v>
          </cell>
          <cell r="C196"/>
        </row>
        <row r="197">
          <cell r="A197" t="str">
            <v>Wailes</v>
          </cell>
          <cell r="B197" t="str">
            <v>Eric</v>
          </cell>
          <cell r="C197" t="str">
            <v>J</v>
          </cell>
        </row>
        <row r="198">
          <cell r="A198" t="str">
            <v>Wallen</v>
          </cell>
          <cell r="B198" t="str">
            <v>Kenneth</v>
          </cell>
          <cell r="C198" t="str">
            <v>E</v>
          </cell>
        </row>
        <row r="199">
          <cell r="A199" t="str">
            <v>Wamishe</v>
          </cell>
          <cell r="B199" t="str">
            <v>Yeshi</v>
          </cell>
          <cell r="C199"/>
        </row>
        <row r="200">
          <cell r="A200" t="str">
            <v>Wang</v>
          </cell>
          <cell r="B200" t="str">
            <v>Ya-Jane</v>
          </cell>
          <cell r="C200"/>
        </row>
        <row r="201">
          <cell r="A201" t="str">
            <v>Watkins</v>
          </cell>
          <cell r="B201" t="str">
            <v>Susan</v>
          </cell>
          <cell r="C201" t="str">
            <v>E</v>
          </cell>
        </row>
        <row r="202">
          <cell r="A202" t="str">
            <v>Watson</v>
          </cell>
          <cell r="B202" t="str">
            <v>Clarence</v>
          </cell>
          <cell r="C202"/>
        </row>
        <row r="203">
          <cell r="A203" t="str">
            <v>White</v>
          </cell>
          <cell r="B203" t="str">
            <v>Donnell</v>
          </cell>
          <cell r="C203"/>
        </row>
        <row r="204">
          <cell r="A204" t="str">
            <v>Wideman</v>
          </cell>
          <cell r="B204" t="str">
            <v>Robert</v>
          </cell>
          <cell r="C204" t="str">
            <v>F</v>
          </cell>
        </row>
        <row r="205">
          <cell r="A205" t="str">
            <v>Wiedenmann</v>
          </cell>
          <cell r="B205" t="str">
            <v>Robert</v>
          </cell>
          <cell r="C205" t="str">
            <v>N</v>
          </cell>
        </row>
        <row r="206">
          <cell r="A206" t="str">
            <v>Willett</v>
          </cell>
          <cell r="B206" t="str">
            <v>Cammy</v>
          </cell>
          <cell r="C206"/>
        </row>
        <row r="207">
          <cell r="A207" t="str">
            <v>Windham</v>
          </cell>
          <cell r="B207" t="str">
            <v>Tony</v>
          </cell>
          <cell r="C207" t="str">
            <v>E</v>
          </cell>
        </row>
        <row r="208">
          <cell r="A208" t="str">
            <v>Worthington</v>
          </cell>
          <cell r="B208" t="str">
            <v>Margaret</v>
          </cell>
          <cell r="C208"/>
        </row>
        <row r="209">
          <cell r="A209" t="str">
            <v>Yazwinski</v>
          </cell>
          <cell r="B209" t="str">
            <v>Thomas</v>
          </cell>
          <cell r="C209" t="str">
            <v>A</v>
          </cell>
        </row>
        <row r="210">
          <cell r="A210" t="str">
            <v>Zhao</v>
          </cell>
          <cell r="B210" t="str">
            <v>Jiangchao</v>
          </cell>
          <cell r="C210"/>
        </row>
        <row r="211">
          <cell r="A211" t="str">
            <v>Zhu</v>
          </cell>
          <cell r="B211" t="str">
            <v>Jun</v>
          </cell>
          <cell r="C211"/>
        </row>
      </sheetData>
      <sheetData sheetId="2" refreshError="1"/>
    </sheetDataSet>
  </externalBook>
</externalLink>
</file>

<file path=xl/tables/table1.xml><?xml version="1.0" encoding="utf-8"?>
<table xmlns="http://schemas.openxmlformats.org/spreadsheetml/2006/main" id="1" name="Table1" displayName="Table1" ref="A3:H21" totalsRowCount="1" headerRowDxfId="22" dataDxfId="21" headerRowCellStyle="Accent4">
  <autoFilter ref="A3:H20">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name="Expense" totalsRowLabel="Total" dataDxfId="20" totalsRowDxfId="19"/>
    <tableColumn id="2" name="Cotton" totalsRowFunction="sum" dataDxfId="18" totalsRowDxfId="17"/>
    <tableColumn id="3" name="Corn" totalsRowFunction="sum" dataDxfId="16" totalsRowDxfId="15"/>
    <tableColumn id="4" name="Soybean" totalsRowFunction="sum" dataDxfId="14" totalsRowDxfId="13"/>
    <tableColumn id="5" name="Rice" totalsRowFunction="sum" dataDxfId="12" totalsRowDxfId="11"/>
    <tableColumn id="6" name="Wheat" totalsRowFunction="sum" dataDxfId="10" totalsRowDxfId="9"/>
    <tableColumn id="7" name="Grain Sorghum" totalsRowFunction="sum" dataDxfId="8" totalsRowDxfId="7"/>
    <tableColumn id="8" name="Peanut" totalsRowFunction="sum" dataDxfId="6" totalsRowDxfId="5"/>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C7" totalsRowShown="0" headerRowDxfId="4" dataDxfId="3">
  <autoFilter ref="A2:C7"/>
  <tableColumns count="3">
    <tableColumn id="1" name="Version" dataDxfId="2"/>
    <tableColumn id="2" name="Date" dataDxfId="1"/>
    <tableColumn id="3" name="Description"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9D2235"/>
      </a:dk2>
      <a:lt2>
        <a:srgbClr val="F3F2DC"/>
      </a:lt2>
      <a:accent1>
        <a:srgbClr val="9D2235"/>
      </a:accent1>
      <a:accent2>
        <a:srgbClr val="AD8F67"/>
      </a:accent2>
      <a:accent3>
        <a:srgbClr val="726056"/>
      </a:accent3>
      <a:accent4>
        <a:srgbClr val="4C5A6A"/>
      </a:accent4>
      <a:accent5>
        <a:srgbClr val="808DA0"/>
      </a:accent5>
      <a:accent6>
        <a:srgbClr val="904955"/>
      </a:accent6>
      <a:hlink>
        <a:srgbClr val="808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CC33"/>
  </sheetPr>
  <dimension ref="A1:L93"/>
  <sheetViews>
    <sheetView showGridLines="0" tabSelected="1" topLeftCell="A55" zoomScale="98" zoomScaleNormal="98" workbookViewId="0">
      <selection activeCell="E6" sqref="E6:F6"/>
    </sheetView>
  </sheetViews>
  <sheetFormatPr defaultRowHeight="15.6" x14ac:dyDescent="0.3"/>
  <cols>
    <col min="1" max="1" width="17" customWidth="1"/>
    <col min="2" max="2" width="17.8984375" customWidth="1"/>
    <col min="3" max="3" width="8.19921875" bestFit="1" customWidth="1"/>
    <col min="4" max="4" width="11.19921875" bestFit="1" customWidth="1"/>
    <col min="5" max="10" width="11.59765625" customWidth="1"/>
  </cols>
  <sheetData>
    <row r="1" spans="1:11" s="16" customFormat="1" ht="20.100000000000001" customHeight="1" x14ac:dyDescent="0.3">
      <c r="A1" s="176">
        <f>Lead_Project_Investigator</f>
        <v>0</v>
      </c>
      <c r="B1" s="176"/>
      <c r="C1" s="175">
        <f>Project_Title</f>
        <v>0</v>
      </c>
      <c r="D1" s="175"/>
      <c r="E1" s="175"/>
      <c r="F1" s="175"/>
      <c r="G1" s="175"/>
      <c r="H1" s="175"/>
      <c r="I1" s="175"/>
      <c r="J1" s="175"/>
    </row>
    <row r="2" spans="1:11" s="32" customFormat="1" ht="15.75" customHeight="1" x14ac:dyDescent="0.3">
      <c r="A2" s="150" t="s">
        <v>339</v>
      </c>
      <c r="B2" s="177" t="s">
        <v>550</v>
      </c>
      <c r="C2" s="177"/>
      <c r="D2" s="151" t="s">
        <v>181</v>
      </c>
      <c r="E2" s="203"/>
      <c r="F2" s="204"/>
      <c r="G2"/>
      <c r="I2"/>
      <c r="J2" s="170" t="s">
        <v>549</v>
      </c>
    </row>
    <row r="3" spans="1:11" s="34" customFormat="1" ht="15.75" customHeight="1" x14ac:dyDescent="0.3">
      <c r="A3" s="50" t="s">
        <v>258</v>
      </c>
      <c r="B3" s="189"/>
      <c r="C3" s="189"/>
      <c r="D3" s="58" t="s">
        <v>204</v>
      </c>
      <c r="E3" s="199"/>
      <c r="F3" s="200"/>
      <c r="H3"/>
      <c r="I3"/>
      <c r="J3"/>
    </row>
    <row r="4" spans="1:11" s="32" customFormat="1" x14ac:dyDescent="0.3">
      <c r="A4" s="50" t="s">
        <v>205</v>
      </c>
      <c r="B4" s="189"/>
      <c r="C4" s="189"/>
      <c r="D4" s="58" t="s">
        <v>206</v>
      </c>
      <c r="E4" s="201"/>
      <c r="F4" s="202"/>
      <c r="G4"/>
      <c r="H4"/>
      <c r="I4"/>
      <c r="J4"/>
    </row>
    <row r="5" spans="1:11" s="34" customFormat="1" x14ac:dyDescent="0.3">
      <c r="A5" s="31" t="s">
        <v>239</v>
      </c>
      <c r="B5" s="205"/>
      <c r="C5" s="206"/>
      <c r="D5" s="206"/>
      <c r="E5" s="206"/>
      <c r="F5" s="207"/>
      <c r="G5"/>
      <c r="H5"/>
      <c r="I5"/>
      <c r="J5"/>
    </row>
    <row r="6" spans="1:11" s="34" customFormat="1" x14ac:dyDescent="0.3">
      <c r="A6" s="31" t="s">
        <v>202</v>
      </c>
      <c r="B6" s="222"/>
      <c r="C6" s="222"/>
      <c r="D6" s="223"/>
      <c r="E6" s="212"/>
      <c r="F6" s="213"/>
      <c r="G6"/>
      <c r="H6"/>
      <c r="I6"/>
      <c r="J6"/>
    </row>
    <row r="7" spans="1:11" s="17" customFormat="1" ht="15.75" customHeight="1" x14ac:dyDescent="0.3">
      <c r="A7" s="77" t="s">
        <v>180</v>
      </c>
      <c r="B7" s="193"/>
      <c r="C7" s="194"/>
      <c r="D7" s="194"/>
      <c r="E7" s="194"/>
      <c r="F7" s="194"/>
      <c r="G7" s="194"/>
      <c r="H7" s="194"/>
      <c r="I7" s="194"/>
      <c r="J7" s="195"/>
    </row>
    <row r="8" spans="1:11" s="32" customFormat="1" ht="20.100000000000001" customHeight="1" x14ac:dyDescent="0.3">
      <c r="A8" s="190" t="s">
        <v>189</v>
      </c>
      <c r="B8" s="191"/>
      <c r="C8" s="191"/>
      <c r="D8" s="191"/>
      <c r="E8" s="191"/>
      <c r="F8" s="191"/>
      <c r="G8" s="191"/>
      <c r="H8" s="191"/>
      <c r="I8" s="191"/>
      <c r="J8" s="192"/>
    </row>
    <row r="9" spans="1:11" s="32" customFormat="1" ht="20.100000000000001" customHeight="1" x14ac:dyDescent="0.3">
      <c r="A9" s="183" t="s">
        <v>192</v>
      </c>
      <c r="B9" s="184"/>
      <c r="C9" s="184"/>
      <c r="D9" s="184"/>
      <c r="E9" s="184"/>
      <c r="F9" s="184"/>
      <c r="G9" s="184"/>
      <c r="H9" s="184"/>
      <c r="I9" s="184"/>
      <c r="J9" s="185"/>
    </row>
    <row r="10" spans="1:11" ht="31.5" customHeight="1" x14ac:dyDescent="0.3">
      <c r="A10" s="196"/>
      <c r="B10" s="197"/>
      <c r="C10" s="198"/>
      <c r="D10" s="96" t="str">
        <f>IF(B3&lt;&gt;0,B3,"")</f>
        <v/>
      </c>
      <c r="E10" s="96" t="str">
        <f>IF(E3&lt;&gt;0,E3,"")</f>
        <v/>
      </c>
      <c r="F10" s="96" t="str">
        <f>IF(B4&lt;&gt;0,B4,"")</f>
        <v/>
      </c>
      <c r="G10" s="96" t="str">
        <f>IF(E4&lt;&gt;0,E4,"")</f>
        <v/>
      </c>
      <c r="H10" s="208" t="s">
        <v>148</v>
      </c>
      <c r="I10" s="208" t="s">
        <v>149</v>
      </c>
      <c r="J10" s="208" t="s">
        <v>150</v>
      </c>
    </row>
    <row r="11" spans="1:11" s="32" customFormat="1" ht="20.100000000000001" customHeight="1" x14ac:dyDescent="0.3">
      <c r="A11" s="224" t="s">
        <v>338</v>
      </c>
      <c r="B11" s="225"/>
      <c r="C11" s="226"/>
      <c r="D11" s="115"/>
      <c r="E11" s="115"/>
      <c r="F11" s="115"/>
      <c r="G11" s="115"/>
      <c r="H11" s="209"/>
      <c r="I11" s="209"/>
      <c r="J11" s="209"/>
      <c r="K11"/>
    </row>
    <row r="12" spans="1:11" ht="18.75" customHeight="1" x14ac:dyDescent="0.3">
      <c r="A12" s="214"/>
      <c r="B12" s="215"/>
      <c r="C12" s="216"/>
      <c r="D12" s="117" t="str">
        <f>IF(OR((AND(D10&lt;&gt;"",D11="")),(AND(D10="",D11&lt;&gt;""))),"X","")</f>
        <v/>
      </c>
      <c r="E12" s="117" t="str">
        <f>IF(OR((AND(E10&lt;&gt;"",E11="")),(AND(E10="",E11&lt;&gt;""))),"X","")</f>
        <v/>
      </c>
      <c r="F12" s="117" t="str">
        <f>IF(OR((AND(F10&lt;&gt;"",F11="")),(AND(F10="",F11&lt;&gt;""))),"X","")</f>
        <v/>
      </c>
      <c r="G12" s="117" t="str">
        <f>IF(OR((AND(G10&lt;&gt;"",G11="")),(AND(G10="",G11&lt;&gt;""))),"X","")</f>
        <v/>
      </c>
      <c r="H12" s="210"/>
      <c r="I12" s="210"/>
      <c r="J12" s="210"/>
      <c r="K12" s="113" t="str">
        <f>IF(OR(D12="X",E12="X",F12="X",G12="X"),"* ERROR: check AES/CES entries","")</f>
        <v/>
      </c>
    </row>
    <row r="13" spans="1:11" s="34" customFormat="1" ht="18.75" customHeight="1" x14ac:dyDescent="0.3">
      <c r="A13" s="186" t="s">
        <v>158</v>
      </c>
      <c r="B13" s="187"/>
      <c r="C13" s="187"/>
      <c r="D13" s="187"/>
      <c r="E13" s="187"/>
      <c r="F13" s="187"/>
      <c r="G13" s="187"/>
      <c r="H13" s="187"/>
      <c r="I13" s="187"/>
      <c r="J13" s="188"/>
    </row>
    <row r="14" spans="1:11" s="17" customFormat="1" ht="31.2" x14ac:dyDescent="0.3">
      <c r="A14" s="51" t="s">
        <v>187</v>
      </c>
      <c r="B14" s="39" t="s">
        <v>191</v>
      </c>
      <c r="C14" s="39" t="s">
        <v>188</v>
      </c>
      <c r="D14" s="178" t="s">
        <v>152</v>
      </c>
      <c r="E14" s="179"/>
      <c r="F14" s="179"/>
      <c r="G14" s="179"/>
      <c r="H14" s="107" t="s">
        <v>111</v>
      </c>
      <c r="I14" s="107" t="s">
        <v>147</v>
      </c>
      <c r="J14" s="107" t="s">
        <v>151</v>
      </c>
    </row>
    <row r="15" spans="1:11" s="17" customFormat="1" x14ac:dyDescent="0.3">
      <c r="A15" s="90"/>
      <c r="B15" s="91"/>
      <c r="C15" s="81"/>
      <c r="D15" s="80"/>
      <c r="E15" s="80"/>
      <c r="F15" s="80"/>
      <c r="G15" s="80"/>
      <c r="H15" s="38">
        <f>SUM(D15:G15)</f>
        <v>0</v>
      </c>
      <c r="I15" s="38">
        <f>SUMIF($D$11:$G$11,"AES",$D15:$G15)</f>
        <v>0</v>
      </c>
      <c r="J15" s="38">
        <f>SUMIF($D$11:$G$11,"CES",$D15:$G15)</f>
        <v>0</v>
      </c>
    </row>
    <row r="16" spans="1:11" s="32" customFormat="1" x14ac:dyDescent="0.3">
      <c r="A16" s="90"/>
      <c r="B16" s="91"/>
      <c r="C16" s="81"/>
      <c r="D16" s="80"/>
      <c r="E16" s="80"/>
      <c r="F16" s="80"/>
      <c r="G16" s="80"/>
      <c r="H16" s="38">
        <f t="shared" ref="H16:H19" si="0">SUM(D16:G16)</f>
        <v>0</v>
      </c>
      <c r="I16" s="38">
        <f t="shared" ref="I16:I19" si="1">SUMIF($D$11:$G$11,"AES",$D16:$G16)</f>
        <v>0</v>
      </c>
      <c r="J16" s="38">
        <f>SUMIF($D$11:$G$11,"CES",$D16:$G16)</f>
        <v>0</v>
      </c>
    </row>
    <row r="17" spans="1:11" s="32" customFormat="1" x14ac:dyDescent="0.3">
      <c r="A17" s="90"/>
      <c r="B17" s="91"/>
      <c r="C17" s="81"/>
      <c r="D17" s="80"/>
      <c r="E17" s="80"/>
      <c r="F17" s="80"/>
      <c r="G17" s="80"/>
      <c r="H17" s="38">
        <f t="shared" si="0"/>
        <v>0</v>
      </c>
      <c r="I17" s="38">
        <f t="shared" si="1"/>
        <v>0</v>
      </c>
      <c r="J17" s="38">
        <f>SUMIF($D$11:$G$11,"CES",$D17:$G17)</f>
        <v>0</v>
      </c>
    </row>
    <row r="18" spans="1:11" s="32" customFormat="1" x14ac:dyDescent="0.3">
      <c r="A18" s="90"/>
      <c r="B18" s="91"/>
      <c r="C18" s="81"/>
      <c r="D18" s="80"/>
      <c r="E18" s="80"/>
      <c r="F18" s="80"/>
      <c r="G18" s="80"/>
      <c r="H18" s="38">
        <f t="shared" si="0"/>
        <v>0</v>
      </c>
      <c r="I18" s="38">
        <f t="shared" si="1"/>
        <v>0</v>
      </c>
      <c r="J18" s="38">
        <f>SUMIF($D$11:$G$11,"CES",$D18:$G18)</f>
        <v>0</v>
      </c>
    </row>
    <row r="19" spans="1:11" s="32" customFormat="1" x14ac:dyDescent="0.3">
      <c r="A19" s="90"/>
      <c r="B19" s="91"/>
      <c r="C19" s="81"/>
      <c r="D19" s="80"/>
      <c r="E19" s="80"/>
      <c r="F19" s="80"/>
      <c r="G19" s="80"/>
      <c r="H19" s="38">
        <f t="shared" si="0"/>
        <v>0</v>
      </c>
      <c r="I19" s="38">
        <f t="shared" si="1"/>
        <v>0</v>
      </c>
      <c r="J19" s="38">
        <f>SUMIF($D$11:$G$11,"CES",$D19:$G19)</f>
        <v>0</v>
      </c>
    </row>
    <row r="20" spans="1:11" s="32" customFormat="1" ht="5.0999999999999996" customHeight="1" x14ac:dyDescent="0.3">
      <c r="A20" s="52"/>
      <c r="B20" s="35"/>
      <c r="C20" s="35"/>
      <c r="D20" s="89"/>
      <c r="E20" s="42"/>
      <c r="F20" s="42"/>
      <c r="G20" s="42"/>
      <c r="H20" s="38"/>
      <c r="I20" s="38"/>
      <c r="J20" s="38"/>
    </row>
    <row r="21" spans="1:11" x14ac:dyDescent="0.3">
      <c r="A21" s="53"/>
      <c r="B21" s="95"/>
      <c r="C21" s="43" t="s">
        <v>190</v>
      </c>
      <c r="D21" s="48">
        <f t="shared" ref="D21:J21" si="2">SUM(D15:D20)</f>
        <v>0</v>
      </c>
      <c r="E21" s="48">
        <f t="shared" si="2"/>
        <v>0</v>
      </c>
      <c r="F21" s="48">
        <f t="shared" si="2"/>
        <v>0</v>
      </c>
      <c r="G21" s="48">
        <f t="shared" si="2"/>
        <v>0</v>
      </c>
      <c r="H21" s="48">
        <f t="shared" si="2"/>
        <v>0</v>
      </c>
      <c r="I21" s="48">
        <f t="shared" si="2"/>
        <v>0</v>
      </c>
      <c r="J21" s="48">
        <f t="shared" si="2"/>
        <v>0</v>
      </c>
      <c r="K21" s="116" t="str">
        <f>IF(H21-I21-J21&lt;&gt;0,"* Out of balance. Check AES/CES entries above","")</f>
        <v/>
      </c>
    </row>
    <row r="22" spans="1:11" ht="18.75" customHeight="1" x14ac:dyDescent="0.3">
      <c r="A22" s="114"/>
      <c r="B22" s="180" t="s">
        <v>153</v>
      </c>
      <c r="C22" s="181"/>
      <c r="D22" s="181"/>
      <c r="E22" s="181"/>
      <c r="F22" s="181"/>
      <c r="G22" s="181"/>
      <c r="H22" s="181"/>
      <c r="I22" s="181"/>
      <c r="J22" s="182"/>
    </row>
    <row r="23" spans="1:11" ht="31.5" customHeight="1" x14ac:dyDescent="0.3">
      <c r="A23" s="219" t="s">
        <v>546</v>
      </c>
      <c r="B23" s="106" t="s">
        <v>191</v>
      </c>
      <c r="C23" s="39" t="s">
        <v>188</v>
      </c>
      <c r="D23" s="178" t="s">
        <v>237</v>
      </c>
      <c r="E23" s="179"/>
      <c r="F23" s="179"/>
      <c r="G23" s="179"/>
      <c r="H23" s="88" t="s">
        <v>111</v>
      </c>
      <c r="I23" s="88" t="s">
        <v>149</v>
      </c>
      <c r="J23" s="88" t="s">
        <v>150</v>
      </c>
    </row>
    <row r="24" spans="1:11" s="34" customFormat="1" ht="15.75" customHeight="1" x14ac:dyDescent="0.3">
      <c r="A24" s="219"/>
      <c r="B24" s="91"/>
      <c r="C24" s="82"/>
      <c r="D24" s="80"/>
      <c r="E24" s="80"/>
      <c r="F24" s="80"/>
      <c r="G24" s="80"/>
      <c r="H24" s="38">
        <f>SUM(D24:G24)</f>
        <v>0</v>
      </c>
      <c r="I24" s="38">
        <f t="shared" ref="I24:I29" si="3">SUMIF($D$11:$G$11,"AES",$D24:$G24)</f>
        <v>0</v>
      </c>
      <c r="J24" s="38">
        <f t="shared" ref="J24:J29" si="4">SUMIF($D$11:$G$11,"CES",$D24:$G24)</f>
        <v>0</v>
      </c>
    </row>
    <row r="25" spans="1:11" s="34" customFormat="1" x14ac:dyDescent="0.3">
      <c r="A25" s="219"/>
      <c r="B25" s="91"/>
      <c r="C25" s="82"/>
      <c r="D25" s="80"/>
      <c r="E25" s="80"/>
      <c r="F25" s="80"/>
      <c r="G25" s="80"/>
      <c r="H25" s="38">
        <f t="shared" ref="H25:H29" si="5">SUM(D25:G25)</f>
        <v>0</v>
      </c>
      <c r="I25" s="38">
        <f t="shared" si="3"/>
        <v>0</v>
      </c>
      <c r="J25" s="38">
        <f t="shared" si="4"/>
        <v>0</v>
      </c>
    </row>
    <row r="26" spans="1:11" s="34" customFormat="1" x14ac:dyDescent="0.3">
      <c r="A26" s="219"/>
      <c r="B26" s="91"/>
      <c r="C26" s="82"/>
      <c r="D26" s="80"/>
      <c r="E26" s="80"/>
      <c r="F26" s="80"/>
      <c r="G26" s="80"/>
      <c r="H26" s="38">
        <f t="shared" si="5"/>
        <v>0</v>
      </c>
      <c r="I26" s="38">
        <f t="shared" si="3"/>
        <v>0</v>
      </c>
      <c r="J26" s="38">
        <f t="shared" si="4"/>
        <v>0</v>
      </c>
    </row>
    <row r="27" spans="1:11" s="34" customFormat="1" x14ac:dyDescent="0.3">
      <c r="A27" s="219"/>
      <c r="B27" s="91"/>
      <c r="C27" s="82"/>
      <c r="D27" s="80"/>
      <c r="E27" s="80"/>
      <c r="F27" s="80"/>
      <c r="G27" s="80"/>
      <c r="H27" s="38">
        <f t="shared" si="5"/>
        <v>0</v>
      </c>
      <c r="I27" s="38">
        <f t="shared" si="3"/>
        <v>0</v>
      </c>
      <c r="J27" s="38">
        <f t="shared" si="4"/>
        <v>0</v>
      </c>
    </row>
    <row r="28" spans="1:11" s="34" customFormat="1" x14ac:dyDescent="0.3">
      <c r="A28" s="219"/>
      <c r="B28" s="91"/>
      <c r="C28" s="82"/>
      <c r="D28" s="80"/>
      <c r="E28" s="80"/>
      <c r="F28" s="80"/>
      <c r="G28" s="80"/>
      <c r="H28" s="38">
        <f t="shared" si="5"/>
        <v>0</v>
      </c>
      <c r="I28" s="38">
        <f t="shared" si="3"/>
        <v>0</v>
      </c>
      <c r="J28" s="38">
        <f t="shared" si="4"/>
        <v>0</v>
      </c>
    </row>
    <row r="29" spans="1:11" s="34" customFormat="1" x14ac:dyDescent="0.3">
      <c r="A29" s="219"/>
      <c r="B29" s="217" t="s">
        <v>547</v>
      </c>
      <c r="C29" s="218"/>
      <c r="D29" s="168"/>
      <c r="E29" s="168"/>
      <c r="F29" s="168"/>
      <c r="G29" s="168"/>
      <c r="H29" s="38">
        <f t="shared" si="5"/>
        <v>0</v>
      </c>
      <c r="I29" s="38">
        <f t="shared" si="3"/>
        <v>0</v>
      </c>
      <c r="J29" s="38">
        <f t="shared" si="4"/>
        <v>0</v>
      </c>
    </row>
    <row r="30" spans="1:11" s="34" customFormat="1" ht="5.0999999999999996" customHeight="1" x14ac:dyDescent="0.3">
      <c r="A30" s="120"/>
      <c r="B30" s="35"/>
      <c r="C30" s="35"/>
      <c r="D30" s="89"/>
      <c r="E30" s="42"/>
      <c r="F30" s="42"/>
      <c r="G30" s="42"/>
      <c r="H30" s="38"/>
      <c r="I30" s="38"/>
      <c r="J30" s="38"/>
    </row>
    <row r="31" spans="1:11" s="34" customFormat="1" x14ac:dyDescent="0.3">
      <c r="A31" s="54"/>
      <c r="B31" s="35"/>
      <c r="C31" s="43" t="s">
        <v>193</v>
      </c>
      <c r="D31" s="38">
        <f t="shared" ref="D31:J31" si="6">SUM(D24:D30)</f>
        <v>0</v>
      </c>
      <c r="E31" s="38">
        <f t="shared" si="6"/>
        <v>0</v>
      </c>
      <c r="F31" s="38">
        <f t="shared" si="6"/>
        <v>0</v>
      </c>
      <c r="G31" s="38">
        <f t="shared" si="6"/>
        <v>0</v>
      </c>
      <c r="H31" s="38">
        <f t="shared" si="6"/>
        <v>0</v>
      </c>
      <c r="I31" s="38">
        <f t="shared" si="6"/>
        <v>0</v>
      </c>
      <c r="J31" s="38">
        <f t="shared" si="6"/>
        <v>0</v>
      </c>
    </row>
    <row r="32" spans="1:11" s="34" customFormat="1" x14ac:dyDescent="0.3">
      <c r="A32" s="53"/>
      <c r="B32" s="35"/>
      <c r="C32" s="44"/>
      <c r="D32" s="180" t="s">
        <v>194</v>
      </c>
      <c r="E32" s="181"/>
      <c r="F32" s="181"/>
      <c r="G32" s="181"/>
      <c r="H32" s="181"/>
      <c r="I32" s="181"/>
      <c r="J32" s="182"/>
    </row>
    <row r="33" spans="1:10" s="34" customFormat="1" x14ac:dyDescent="0.3">
      <c r="A33" s="53"/>
      <c r="B33" s="35"/>
      <c r="C33" s="35"/>
      <c r="D33" s="178" t="s">
        <v>154</v>
      </c>
      <c r="E33" s="179"/>
      <c r="F33" s="179"/>
      <c r="G33" s="179"/>
      <c r="H33" s="88" t="s">
        <v>111</v>
      </c>
      <c r="I33" s="88" t="s">
        <v>149</v>
      </c>
      <c r="J33" s="88" t="s">
        <v>150</v>
      </c>
    </row>
    <row r="34" spans="1:10" s="34" customFormat="1" x14ac:dyDescent="0.3">
      <c r="A34" s="53"/>
      <c r="B34" s="35"/>
      <c r="C34" s="55" t="s">
        <v>155</v>
      </c>
      <c r="D34" s="80"/>
      <c r="E34" s="80"/>
      <c r="F34" s="80"/>
      <c r="G34" s="80"/>
      <c r="H34" s="38">
        <f>SUM(D34:G34)</f>
        <v>0</v>
      </c>
      <c r="I34" s="38">
        <f t="shared" ref="I34:I35" si="7">SUMIF($D$11:$G$11,"AES",$D34:$G34)</f>
        <v>0</v>
      </c>
      <c r="J34" s="38">
        <f>SUMIF($D$11:$G$11,"CES",$D34:$G34)</f>
        <v>0</v>
      </c>
    </row>
    <row r="35" spans="1:10" s="34" customFormat="1" x14ac:dyDescent="0.3">
      <c r="A35" s="53"/>
      <c r="B35" s="35"/>
      <c r="C35" s="55" t="s">
        <v>156</v>
      </c>
      <c r="D35" s="80"/>
      <c r="E35" s="80"/>
      <c r="F35" s="80"/>
      <c r="G35" s="80"/>
      <c r="H35" s="38">
        <f t="shared" ref="H35" si="8">SUM(D35:G35)</f>
        <v>0</v>
      </c>
      <c r="I35" s="38">
        <f t="shared" si="7"/>
        <v>0</v>
      </c>
      <c r="J35" s="38">
        <f>SUMIF($D$11:$G$11,"CES",$D35:$G35)</f>
        <v>0</v>
      </c>
    </row>
    <row r="36" spans="1:10" s="34" customFormat="1" ht="5.0999999999999996" customHeight="1" x14ac:dyDescent="0.3">
      <c r="A36" s="53"/>
      <c r="B36" s="35"/>
      <c r="C36" s="35"/>
      <c r="D36" s="89"/>
      <c r="E36" s="42"/>
      <c r="F36" s="42"/>
      <c r="G36" s="42"/>
      <c r="H36" s="38"/>
      <c r="I36" s="38"/>
      <c r="J36" s="38"/>
    </row>
    <row r="37" spans="1:10" s="34" customFormat="1" x14ac:dyDescent="0.3">
      <c r="A37" s="53"/>
      <c r="B37" s="35"/>
      <c r="C37" s="43" t="s">
        <v>195</v>
      </c>
      <c r="D37" s="38">
        <f t="shared" ref="D37:J37" si="9">SUM(D34:D36)</f>
        <v>0</v>
      </c>
      <c r="E37" s="38">
        <f t="shared" si="9"/>
        <v>0</v>
      </c>
      <c r="F37" s="38">
        <f t="shared" si="9"/>
        <v>0</v>
      </c>
      <c r="G37" s="38">
        <f t="shared" si="9"/>
        <v>0</v>
      </c>
      <c r="H37" s="38">
        <f t="shared" si="9"/>
        <v>0</v>
      </c>
      <c r="I37" s="38">
        <f t="shared" si="9"/>
        <v>0</v>
      </c>
      <c r="J37" s="38">
        <f t="shared" si="9"/>
        <v>0</v>
      </c>
    </row>
    <row r="38" spans="1:10" s="34" customFormat="1" ht="18.75" customHeight="1" x14ac:dyDescent="0.3">
      <c r="A38" s="53"/>
      <c r="B38" s="35"/>
      <c r="C38" s="44"/>
      <c r="D38" s="180" t="s">
        <v>157</v>
      </c>
      <c r="E38" s="181"/>
      <c r="F38" s="181"/>
      <c r="G38" s="181"/>
      <c r="H38" s="181"/>
      <c r="I38" s="181"/>
      <c r="J38" s="182"/>
    </row>
    <row r="39" spans="1:10" s="34" customFormat="1" ht="15.75" customHeight="1" x14ac:dyDescent="0.3">
      <c r="A39" s="211" t="s">
        <v>341</v>
      </c>
      <c r="B39" s="71"/>
      <c r="C39" s="71"/>
      <c r="D39" s="178" t="s">
        <v>238</v>
      </c>
      <c r="E39" s="179"/>
      <c r="F39" s="179"/>
      <c r="G39" s="179"/>
      <c r="H39" s="88" t="s">
        <v>111</v>
      </c>
      <c r="I39" s="88" t="s">
        <v>149</v>
      </c>
      <c r="J39" s="88" t="s">
        <v>150</v>
      </c>
    </row>
    <row r="40" spans="1:10" s="34" customFormat="1" ht="15.75" customHeight="1" x14ac:dyDescent="0.3">
      <c r="A40" s="211"/>
      <c r="B40" s="35"/>
      <c r="C40" s="55" t="s">
        <v>158</v>
      </c>
      <c r="D40" s="38">
        <f>IF(D$11="AES",$E$78*D21,$E$79*D21)</f>
        <v>0</v>
      </c>
      <c r="E40" s="38">
        <f>IF(E$11="AES",$E$78*E21,$E$79*E21)</f>
        <v>0</v>
      </c>
      <c r="F40" s="38">
        <f>IF(F$11="AES",$E$78*F21,$E$79*F21)</f>
        <v>0</v>
      </c>
      <c r="G40" s="38">
        <f>IF(G$11="AES",$E$78*G21,$E$79*G21)</f>
        <v>0</v>
      </c>
      <c r="H40" s="38">
        <f>SUM(D40:G40)</f>
        <v>0</v>
      </c>
      <c r="I40" s="38">
        <f t="shared" ref="I40:I43" si="10">SUMIF($D$11:$G$11,"AES",$D40:$G40)</f>
        <v>0</v>
      </c>
      <c r="J40" s="38">
        <f>SUMIF($D$11:$G$11,"CES",$D40:$G40)</f>
        <v>0</v>
      </c>
    </row>
    <row r="41" spans="1:10" s="34" customFormat="1" ht="15.75" customHeight="1" x14ac:dyDescent="0.3">
      <c r="A41" s="211"/>
      <c r="B41" s="220" t="s">
        <v>548</v>
      </c>
      <c r="C41" s="221"/>
      <c r="D41" s="38">
        <f>IF(D$11="AES",$G$78*(D31-D29),$G$79*(D31-D29))</f>
        <v>0</v>
      </c>
      <c r="E41" s="38">
        <f t="shared" ref="E41:G41" si="11">IF(E$11="AES",$G$78*(E31-E29),$G$79*(E31-E29))</f>
        <v>0</v>
      </c>
      <c r="F41" s="38">
        <f t="shared" si="11"/>
        <v>0</v>
      </c>
      <c r="G41" s="38">
        <f t="shared" si="11"/>
        <v>0</v>
      </c>
      <c r="H41" s="38">
        <f>SUM(D41:G41)</f>
        <v>0</v>
      </c>
      <c r="I41" s="38">
        <f t="shared" si="10"/>
        <v>0</v>
      </c>
      <c r="J41" s="38">
        <f>SUMIF($D$11:$G$11,"CES",$D41:$G41)</f>
        <v>0</v>
      </c>
    </row>
    <row r="42" spans="1:10" s="34" customFormat="1" x14ac:dyDescent="0.3">
      <c r="A42" s="211"/>
      <c r="B42" s="36"/>
      <c r="C42" s="55" t="s">
        <v>196</v>
      </c>
      <c r="D42" s="38">
        <f>IF(D$11="AES",$F$78*D34,$F$79*D34)</f>
        <v>0</v>
      </c>
      <c r="E42" s="38">
        <f>IF(E$11="AES",$F$78*E34,$F$79*E34)</f>
        <v>0</v>
      </c>
      <c r="F42" s="38">
        <f>IF(F$11="AES",$F$78*F34,$F$79*F34)</f>
        <v>0</v>
      </c>
      <c r="G42" s="38">
        <f>IF(G$11="AES",$F$78*G34,$F$79*G34)</f>
        <v>0</v>
      </c>
      <c r="H42" s="38">
        <f>SUM(D42:G42)</f>
        <v>0</v>
      </c>
      <c r="I42" s="38">
        <f t="shared" si="10"/>
        <v>0</v>
      </c>
      <c r="J42" s="38">
        <f>SUMIF($D$11:$G$11,"CES",$D42:$G42)</f>
        <v>0</v>
      </c>
    </row>
    <row r="43" spans="1:10" s="34" customFormat="1" x14ac:dyDescent="0.3">
      <c r="A43" s="211"/>
      <c r="B43" s="35"/>
      <c r="C43" s="55" t="s">
        <v>156</v>
      </c>
      <c r="D43" s="38">
        <f>IF(D$11="AES",$H$78*D35,$H$79*D35)</f>
        <v>0</v>
      </c>
      <c r="E43" s="38">
        <f>IF(E$11="AES",$H$78*E35,$H$79*E35)</f>
        <v>0</v>
      </c>
      <c r="F43" s="38">
        <f>IF(F$11="AES",$H$78*F35,$H$79*F35)</f>
        <v>0</v>
      </c>
      <c r="G43" s="38">
        <f>IF(G$11="AES",$H$78*G35,$H$79*G35)</f>
        <v>0</v>
      </c>
      <c r="H43" s="38">
        <f>SUM(D43:G43)</f>
        <v>0</v>
      </c>
      <c r="I43" s="38">
        <f t="shared" si="10"/>
        <v>0</v>
      </c>
      <c r="J43" s="38">
        <f>SUMIF($D$11:$G$11,"CES",$D43:$G43)</f>
        <v>0</v>
      </c>
    </row>
    <row r="44" spans="1:10" s="34" customFormat="1" ht="5.0999999999999996" customHeight="1" x14ac:dyDescent="0.3">
      <c r="A44" s="211"/>
      <c r="B44" s="35"/>
      <c r="C44" s="35"/>
      <c r="D44" s="89"/>
      <c r="E44" s="42"/>
      <c r="F44" s="42"/>
      <c r="G44" s="42"/>
      <c r="H44" s="38"/>
      <c r="I44" s="38"/>
      <c r="J44" s="38"/>
    </row>
    <row r="45" spans="1:10" s="34" customFormat="1" x14ac:dyDescent="0.3">
      <c r="A45" s="211"/>
      <c r="B45" s="35"/>
      <c r="C45" s="43" t="s">
        <v>197</v>
      </c>
      <c r="D45" s="38">
        <f t="shared" ref="D45:J45" si="12">SUM(D40:D44)</f>
        <v>0</v>
      </c>
      <c r="E45" s="38">
        <f t="shared" si="12"/>
        <v>0</v>
      </c>
      <c r="F45" s="38">
        <f t="shared" si="12"/>
        <v>0</v>
      </c>
      <c r="G45" s="38">
        <f t="shared" si="12"/>
        <v>0</v>
      </c>
      <c r="H45" s="38">
        <f t="shared" si="12"/>
        <v>0</v>
      </c>
      <c r="I45" s="38">
        <f t="shared" si="12"/>
        <v>0</v>
      </c>
      <c r="J45" s="38">
        <f t="shared" si="12"/>
        <v>0</v>
      </c>
    </row>
    <row r="46" spans="1:10" s="34" customFormat="1" ht="18" x14ac:dyDescent="0.35">
      <c r="A46" s="53"/>
      <c r="B46" s="35"/>
      <c r="C46" s="45" t="s">
        <v>159</v>
      </c>
      <c r="D46" s="38">
        <f t="shared" ref="D46:J46" si="13">+D45+D37+D31+D21</f>
        <v>0</v>
      </c>
      <c r="E46" s="38">
        <f t="shared" si="13"/>
        <v>0</v>
      </c>
      <c r="F46" s="38">
        <f t="shared" si="13"/>
        <v>0</v>
      </c>
      <c r="G46" s="38">
        <f t="shared" si="13"/>
        <v>0</v>
      </c>
      <c r="H46" s="38">
        <f t="shared" si="13"/>
        <v>0</v>
      </c>
      <c r="I46" s="38">
        <f t="shared" si="13"/>
        <v>0</v>
      </c>
      <c r="J46" s="38">
        <f t="shared" si="13"/>
        <v>0</v>
      </c>
    </row>
    <row r="47" spans="1:10" s="34" customFormat="1" x14ac:dyDescent="0.3">
      <c r="A47" s="53"/>
      <c r="B47" s="35"/>
      <c r="C47" s="44"/>
      <c r="D47" s="180" t="s">
        <v>198</v>
      </c>
      <c r="E47" s="181"/>
      <c r="F47" s="181"/>
      <c r="G47" s="181"/>
      <c r="H47" s="181"/>
      <c r="I47" s="181"/>
      <c r="J47" s="182"/>
    </row>
    <row r="48" spans="1:10" s="34" customFormat="1" ht="15.75" customHeight="1" x14ac:dyDescent="0.3">
      <c r="A48" s="211" t="s">
        <v>340</v>
      </c>
      <c r="B48" s="71"/>
      <c r="C48" s="71"/>
      <c r="D48" s="178" t="s">
        <v>198</v>
      </c>
      <c r="E48" s="179"/>
      <c r="F48" s="179"/>
      <c r="G48" s="179"/>
      <c r="H48" s="88" t="s">
        <v>111</v>
      </c>
      <c r="I48" s="88" t="s">
        <v>149</v>
      </c>
      <c r="J48" s="88" t="s">
        <v>150</v>
      </c>
    </row>
    <row r="49" spans="1:10" s="34" customFormat="1" x14ac:dyDescent="0.3">
      <c r="A49" s="211"/>
      <c r="B49" s="35"/>
      <c r="C49" s="55" t="s">
        <v>160</v>
      </c>
      <c r="D49" s="80"/>
      <c r="E49" s="80"/>
      <c r="F49" s="80"/>
      <c r="G49" s="80"/>
      <c r="H49" s="38">
        <f>SUM(D49:G49)</f>
        <v>0</v>
      </c>
      <c r="I49" s="38">
        <f t="shared" ref="I49:I50" si="14">SUMIF($D$11:$G$11,"AES",$D49:$G49)</f>
        <v>0</v>
      </c>
      <c r="J49" s="38">
        <f>SUMIF($D$11:$G$11,"CES",$D49:$G49)</f>
        <v>0</v>
      </c>
    </row>
    <row r="50" spans="1:10" s="34" customFormat="1" x14ac:dyDescent="0.3">
      <c r="A50" s="211"/>
      <c r="B50" s="36"/>
      <c r="C50" s="55" t="s">
        <v>161</v>
      </c>
      <c r="D50" s="80"/>
      <c r="E50" s="80"/>
      <c r="F50" s="80"/>
      <c r="G50" s="80"/>
      <c r="H50" s="38">
        <f>SUM(D50:G50)</f>
        <v>0</v>
      </c>
      <c r="I50" s="38">
        <f t="shared" si="14"/>
        <v>0</v>
      </c>
      <c r="J50" s="38">
        <f>SUMIF($D$11:$G$11,"CES",$D50:$G50)</f>
        <v>0</v>
      </c>
    </row>
    <row r="51" spans="1:10" s="34" customFormat="1" ht="5.0999999999999996" customHeight="1" x14ac:dyDescent="0.3">
      <c r="A51" s="53"/>
      <c r="B51" s="35"/>
      <c r="C51" s="35"/>
      <c r="D51" s="74"/>
      <c r="H51" s="38"/>
      <c r="I51" s="38"/>
      <c r="J51" s="38"/>
    </row>
    <row r="52" spans="1:10" s="34" customFormat="1" ht="18" x14ac:dyDescent="0.35">
      <c r="A52" s="56"/>
      <c r="B52" s="49"/>
      <c r="C52" s="155" t="s">
        <v>162</v>
      </c>
      <c r="D52" s="38">
        <f t="shared" ref="D52:J52" si="15">SUM(D49:D51)</f>
        <v>0</v>
      </c>
      <c r="E52" s="38">
        <f t="shared" si="15"/>
        <v>0</v>
      </c>
      <c r="F52" s="38">
        <f t="shared" si="15"/>
        <v>0</v>
      </c>
      <c r="G52" s="38">
        <f t="shared" si="15"/>
        <v>0</v>
      </c>
      <c r="H52" s="38">
        <f t="shared" si="15"/>
        <v>0</v>
      </c>
      <c r="I52" s="38">
        <f t="shared" si="15"/>
        <v>0</v>
      </c>
      <c r="J52" s="38">
        <f t="shared" si="15"/>
        <v>0</v>
      </c>
    </row>
    <row r="53" spans="1:10" s="34" customFormat="1" ht="18.75" customHeight="1" x14ac:dyDescent="0.3">
      <c r="A53" s="152"/>
      <c r="B53" s="153"/>
      <c r="C53" s="154"/>
      <c r="D53" s="180" t="s">
        <v>199</v>
      </c>
      <c r="E53" s="181"/>
      <c r="F53" s="181"/>
      <c r="G53" s="181"/>
      <c r="H53" s="181"/>
      <c r="I53" s="181"/>
      <c r="J53" s="182"/>
    </row>
    <row r="54" spans="1:10" s="34" customFormat="1" x14ac:dyDescent="0.3">
      <c r="A54" s="53"/>
      <c r="B54" s="71"/>
      <c r="C54" s="71"/>
      <c r="D54" s="178" t="s">
        <v>236</v>
      </c>
      <c r="E54" s="179"/>
      <c r="F54" s="179"/>
      <c r="G54" s="179"/>
      <c r="H54" s="88" t="s">
        <v>111</v>
      </c>
      <c r="I54" s="88" t="s">
        <v>149</v>
      </c>
      <c r="J54" s="88" t="s">
        <v>150</v>
      </c>
    </row>
    <row r="55" spans="1:10" s="34" customFormat="1" x14ac:dyDescent="0.3">
      <c r="A55" s="53"/>
      <c r="B55" s="35"/>
      <c r="C55" s="55" t="s">
        <v>163</v>
      </c>
      <c r="D55" s="80"/>
      <c r="E55" s="80"/>
      <c r="F55" s="80"/>
      <c r="G55" s="80"/>
      <c r="H55" s="38">
        <f>SUM(D55:G55)</f>
        <v>0</v>
      </c>
      <c r="I55" s="38">
        <f t="shared" ref="I55:I70" si="16">SUMIF($D$11:$G$11,"AES",$D55:$G55)</f>
        <v>0</v>
      </c>
      <c r="J55" s="38">
        <f t="shared" ref="J55:J70" si="17">SUMIF($D$11:$G$11,"CES",$D55:$G55)</f>
        <v>0</v>
      </c>
    </row>
    <row r="56" spans="1:10" s="34" customFormat="1" x14ac:dyDescent="0.3">
      <c r="A56" s="53"/>
      <c r="B56" s="35"/>
      <c r="C56" s="55" t="s">
        <v>164</v>
      </c>
      <c r="D56" s="80"/>
      <c r="E56" s="80"/>
      <c r="F56" s="80"/>
      <c r="G56" s="80"/>
      <c r="H56" s="38">
        <f t="shared" ref="H56:H70" si="18">SUM(D56:G56)</f>
        <v>0</v>
      </c>
      <c r="I56" s="38">
        <f t="shared" si="16"/>
        <v>0</v>
      </c>
      <c r="J56" s="38">
        <f t="shared" si="17"/>
        <v>0</v>
      </c>
    </row>
    <row r="57" spans="1:10" s="34" customFormat="1" x14ac:dyDescent="0.3">
      <c r="A57" s="53"/>
      <c r="B57" s="35"/>
      <c r="C57" s="55" t="s">
        <v>165</v>
      </c>
      <c r="D57" s="80"/>
      <c r="E57" s="80"/>
      <c r="F57" s="80"/>
      <c r="G57" s="80"/>
      <c r="H57" s="38">
        <f t="shared" si="18"/>
        <v>0</v>
      </c>
      <c r="I57" s="38">
        <f t="shared" si="16"/>
        <v>0</v>
      </c>
      <c r="J57" s="38">
        <f t="shared" si="17"/>
        <v>0</v>
      </c>
    </row>
    <row r="58" spans="1:10" s="34" customFormat="1" x14ac:dyDescent="0.3">
      <c r="A58" s="53"/>
      <c r="B58" s="35"/>
      <c r="C58" s="55" t="s">
        <v>166</v>
      </c>
      <c r="D58" s="80"/>
      <c r="E58" s="80"/>
      <c r="F58" s="80"/>
      <c r="G58" s="80"/>
      <c r="H58" s="38">
        <f t="shared" si="18"/>
        <v>0</v>
      </c>
      <c r="I58" s="38">
        <f t="shared" si="16"/>
        <v>0</v>
      </c>
      <c r="J58" s="38">
        <f t="shared" si="17"/>
        <v>0</v>
      </c>
    </row>
    <row r="59" spans="1:10" s="34" customFormat="1" x14ac:dyDescent="0.3">
      <c r="A59" s="108" t="s">
        <v>167</v>
      </c>
      <c r="B59" s="235"/>
      <c r="C59" s="236"/>
      <c r="D59" s="80"/>
      <c r="E59" s="80"/>
      <c r="F59" s="80"/>
      <c r="G59" s="80"/>
      <c r="H59" s="38">
        <f t="shared" si="18"/>
        <v>0</v>
      </c>
      <c r="I59" s="38">
        <f t="shared" si="16"/>
        <v>0</v>
      </c>
      <c r="J59" s="38">
        <f t="shared" si="17"/>
        <v>0</v>
      </c>
    </row>
    <row r="60" spans="1:10" s="34" customFormat="1" x14ac:dyDescent="0.3">
      <c r="A60" s="237" t="s">
        <v>168</v>
      </c>
      <c r="B60" s="163"/>
      <c r="C60" s="164" t="s">
        <v>169</v>
      </c>
      <c r="D60" s="38">
        <f>+'Lead PI Station Maint Budget'!F277</f>
        <v>0</v>
      </c>
      <c r="E60" s="38">
        <f>'Co-PI #1 Station Maint Budget'!F277</f>
        <v>0</v>
      </c>
      <c r="F60" s="38">
        <f>'Co-PI #2 Station Maint Budget'!F277</f>
        <v>0</v>
      </c>
      <c r="G60" s="38">
        <f>'Co-PI #3 Station Maint Budget'!F277</f>
        <v>0</v>
      </c>
      <c r="H60" s="38">
        <f t="shared" si="18"/>
        <v>0</v>
      </c>
      <c r="I60" s="38">
        <f t="shared" si="16"/>
        <v>0</v>
      </c>
      <c r="J60" s="38">
        <f t="shared" si="17"/>
        <v>0</v>
      </c>
    </row>
    <row r="61" spans="1:10" s="34" customFormat="1" x14ac:dyDescent="0.3">
      <c r="A61" s="238"/>
      <c r="B61" s="40"/>
      <c r="C61" s="41" t="s">
        <v>170</v>
      </c>
      <c r="D61" s="38">
        <f>+'Lead PI Station Maint Budget'!F278</f>
        <v>0</v>
      </c>
      <c r="E61" s="38">
        <f>'Co-PI #1 Station Maint Budget'!F278</f>
        <v>0</v>
      </c>
      <c r="F61" s="38">
        <f>'Co-PI #2 Station Maint Budget'!F278</f>
        <v>0</v>
      </c>
      <c r="G61" s="38">
        <f>'Co-PI #3 Station Maint Budget'!F278</f>
        <v>0</v>
      </c>
      <c r="H61" s="38">
        <f t="shared" si="18"/>
        <v>0</v>
      </c>
      <c r="I61" s="38">
        <f t="shared" si="16"/>
        <v>0</v>
      </c>
      <c r="J61" s="38">
        <f t="shared" si="17"/>
        <v>0</v>
      </c>
    </row>
    <row r="62" spans="1:10" s="34" customFormat="1" x14ac:dyDescent="0.3">
      <c r="A62" s="238"/>
      <c r="B62" s="40"/>
      <c r="C62" s="41" t="s">
        <v>171</v>
      </c>
      <c r="D62" s="38">
        <f>+'Lead PI Station Maint Budget'!F279</f>
        <v>0</v>
      </c>
      <c r="E62" s="38">
        <f>'Co-PI #1 Station Maint Budget'!F279</f>
        <v>0</v>
      </c>
      <c r="F62" s="38">
        <f>'Co-PI #2 Station Maint Budget'!F279</f>
        <v>0</v>
      </c>
      <c r="G62" s="38">
        <f>'Co-PI #3 Station Maint Budget'!F279</f>
        <v>0</v>
      </c>
      <c r="H62" s="38">
        <f t="shared" si="18"/>
        <v>0</v>
      </c>
      <c r="I62" s="38">
        <f t="shared" si="16"/>
        <v>0</v>
      </c>
      <c r="J62" s="38">
        <f t="shared" si="17"/>
        <v>0</v>
      </c>
    </row>
    <row r="63" spans="1:10" s="34" customFormat="1" x14ac:dyDescent="0.3">
      <c r="A63" s="238"/>
      <c r="B63" s="40"/>
      <c r="C63" s="41" t="s">
        <v>172</v>
      </c>
      <c r="D63" s="38">
        <f>+'Lead PI Station Maint Budget'!F280</f>
        <v>0</v>
      </c>
      <c r="E63" s="38">
        <f>'Co-PI #1 Station Maint Budget'!F280</f>
        <v>0</v>
      </c>
      <c r="F63" s="38">
        <f>'Co-PI #2 Station Maint Budget'!F280</f>
        <v>0</v>
      </c>
      <c r="G63" s="38">
        <f>'Co-PI #3 Station Maint Budget'!F280</f>
        <v>0</v>
      </c>
      <c r="H63" s="38">
        <f t="shared" si="18"/>
        <v>0</v>
      </c>
      <c r="I63" s="38">
        <f t="shared" si="16"/>
        <v>0</v>
      </c>
      <c r="J63" s="38">
        <f t="shared" si="17"/>
        <v>0</v>
      </c>
    </row>
    <row r="64" spans="1:10" s="34" customFormat="1" x14ac:dyDescent="0.3">
      <c r="A64" s="238"/>
      <c r="B64" s="40"/>
      <c r="C64" s="41" t="s">
        <v>173</v>
      </c>
      <c r="D64" s="38">
        <f>+'Lead PI Station Maint Budget'!F281</f>
        <v>0</v>
      </c>
      <c r="E64" s="38">
        <f>'Co-PI #1 Station Maint Budget'!F281</f>
        <v>0</v>
      </c>
      <c r="F64" s="38">
        <f>'Co-PI #2 Station Maint Budget'!F281</f>
        <v>0</v>
      </c>
      <c r="G64" s="38">
        <f>'Co-PI #3 Station Maint Budget'!F281</f>
        <v>0</v>
      </c>
      <c r="H64" s="38">
        <f t="shared" si="18"/>
        <v>0</v>
      </c>
      <c r="I64" s="38">
        <f t="shared" si="16"/>
        <v>0</v>
      </c>
      <c r="J64" s="38">
        <f t="shared" si="17"/>
        <v>0</v>
      </c>
    </row>
    <row r="65" spans="1:10" s="34" customFormat="1" x14ac:dyDescent="0.3">
      <c r="A65" s="238"/>
      <c r="B65" s="40"/>
      <c r="C65" s="41" t="s">
        <v>174</v>
      </c>
      <c r="D65" s="38">
        <f>+'Lead PI Station Maint Budget'!F282</f>
        <v>0</v>
      </c>
      <c r="E65" s="38">
        <f>'Co-PI #1 Station Maint Budget'!F282</f>
        <v>0</v>
      </c>
      <c r="F65" s="38">
        <f>'Co-PI #2 Station Maint Budget'!F282</f>
        <v>0</v>
      </c>
      <c r="G65" s="38">
        <f>'Co-PI #3 Station Maint Budget'!F282</f>
        <v>0</v>
      </c>
      <c r="H65" s="38">
        <f t="shared" si="18"/>
        <v>0</v>
      </c>
      <c r="I65" s="38">
        <f t="shared" si="16"/>
        <v>0</v>
      </c>
      <c r="J65" s="38">
        <f t="shared" si="17"/>
        <v>0</v>
      </c>
    </row>
    <row r="66" spans="1:10" s="34" customFormat="1" x14ac:dyDescent="0.3">
      <c r="A66" s="238"/>
      <c r="B66" s="40"/>
      <c r="C66" s="41" t="s">
        <v>175</v>
      </c>
      <c r="D66" s="38">
        <f>+'Lead PI Station Maint Budget'!F283</f>
        <v>0</v>
      </c>
      <c r="E66" s="38">
        <f>'Co-PI #1 Station Maint Budget'!F283</f>
        <v>0</v>
      </c>
      <c r="F66" s="38">
        <f>'Co-PI #2 Station Maint Budget'!F283</f>
        <v>0</v>
      </c>
      <c r="G66" s="38">
        <f>'Co-PI #3 Station Maint Budget'!F283</f>
        <v>0</v>
      </c>
      <c r="H66" s="38">
        <f t="shared" si="18"/>
        <v>0</v>
      </c>
      <c r="I66" s="38">
        <f t="shared" si="16"/>
        <v>0</v>
      </c>
      <c r="J66" s="38">
        <f t="shared" si="17"/>
        <v>0</v>
      </c>
    </row>
    <row r="67" spans="1:10" s="34" customFormat="1" x14ac:dyDescent="0.3">
      <c r="A67" s="238"/>
      <c r="B67" s="40"/>
      <c r="C67" s="41" t="s">
        <v>447</v>
      </c>
      <c r="D67" s="38">
        <f>+'Lead PI Station Maint Budget'!F284</f>
        <v>0</v>
      </c>
      <c r="E67" s="38">
        <f>'Co-PI #1 Station Maint Budget'!F284</f>
        <v>0</v>
      </c>
      <c r="F67" s="38">
        <f>'Co-PI #2 Station Maint Budget'!F284</f>
        <v>0</v>
      </c>
      <c r="G67" s="38">
        <f>'Co-PI #3 Station Maint Budget'!F284</f>
        <v>0</v>
      </c>
      <c r="H67" s="38">
        <f t="shared" ref="H67" si="19">SUM(D67:G67)</f>
        <v>0</v>
      </c>
      <c r="I67" s="38">
        <f t="shared" si="16"/>
        <v>0</v>
      </c>
      <c r="J67" s="38">
        <f t="shared" si="17"/>
        <v>0</v>
      </c>
    </row>
    <row r="68" spans="1:10" s="34" customFormat="1" x14ac:dyDescent="0.3">
      <c r="A68" s="238"/>
      <c r="B68" s="40"/>
      <c r="C68" s="41" t="s">
        <v>176</v>
      </c>
      <c r="D68" s="38">
        <f>+'Lead PI Station Maint Budget'!F285</f>
        <v>0</v>
      </c>
      <c r="E68" s="38">
        <f>'Co-PI #1 Station Maint Budget'!F285</f>
        <v>0</v>
      </c>
      <c r="F68" s="38">
        <f>'Co-PI #2 Station Maint Budget'!F285</f>
        <v>0</v>
      </c>
      <c r="G68" s="38">
        <f>'Co-PI #3 Station Maint Budget'!F285</f>
        <v>0</v>
      </c>
      <c r="H68" s="38">
        <f t="shared" si="18"/>
        <v>0</v>
      </c>
      <c r="I68" s="38">
        <f t="shared" si="16"/>
        <v>0</v>
      </c>
      <c r="J68" s="38">
        <f t="shared" si="17"/>
        <v>0</v>
      </c>
    </row>
    <row r="69" spans="1:10" s="34" customFormat="1" x14ac:dyDescent="0.3">
      <c r="A69" s="238"/>
      <c r="B69" s="40"/>
      <c r="C69" s="41" t="s">
        <v>177</v>
      </c>
      <c r="D69" s="38">
        <f>+'Lead PI Station Maint Budget'!F286</f>
        <v>0</v>
      </c>
      <c r="E69" s="38">
        <f>'Co-PI #1 Station Maint Budget'!F286</f>
        <v>0</v>
      </c>
      <c r="F69" s="38">
        <f>'Co-PI #2 Station Maint Budget'!F286</f>
        <v>0</v>
      </c>
      <c r="G69" s="38">
        <f>'Co-PI #3 Station Maint Budget'!F286</f>
        <v>0</v>
      </c>
      <c r="H69" s="38">
        <f t="shared" si="18"/>
        <v>0</v>
      </c>
      <c r="I69" s="38">
        <f t="shared" si="16"/>
        <v>0</v>
      </c>
      <c r="J69" s="38">
        <f t="shared" si="17"/>
        <v>0</v>
      </c>
    </row>
    <row r="70" spans="1:10" s="34" customFormat="1" x14ac:dyDescent="0.3">
      <c r="A70" s="238"/>
      <c r="B70" s="40"/>
      <c r="C70" s="41" t="s">
        <v>178</v>
      </c>
      <c r="D70" s="38">
        <f>+'Lead PI Station Maint Budget'!F287</f>
        <v>0</v>
      </c>
      <c r="E70" s="38">
        <f>'Co-PI #1 Station Maint Budget'!F287</f>
        <v>0</v>
      </c>
      <c r="F70" s="38">
        <f>'Co-PI #2 Station Maint Budget'!F287</f>
        <v>0</v>
      </c>
      <c r="G70" s="38">
        <f>'Co-PI #3 Station Maint Budget'!F287</f>
        <v>0</v>
      </c>
      <c r="H70" s="38">
        <f t="shared" si="18"/>
        <v>0</v>
      </c>
      <c r="I70" s="38">
        <f t="shared" si="16"/>
        <v>0</v>
      </c>
      <c r="J70" s="38">
        <f t="shared" si="17"/>
        <v>0</v>
      </c>
    </row>
    <row r="71" spans="1:10" s="34" customFormat="1" ht="5.0999999999999996" customHeight="1" x14ac:dyDescent="0.3">
      <c r="A71" s="53"/>
      <c r="B71" s="95"/>
      <c r="C71" s="95"/>
      <c r="D71" s="38"/>
      <c r="E71" s="38"/>
      <c r="F71" s="38"/>
      <c r="G71" s="38"/>
      <c r="H71" s="38"/>
      <c r="I71" s="38"/>
      <c r="J71" s="38"/>
    </row>
    <row r="72" spans="1:10" s="34" customFormat="1" ht="20.100000000000001" customHeight="1" x14ac:dyDescent="0.35">
      <c r="A72" s="53"/>
      <c r="B72" s="95"/>
      <c r="C72" s="46" t="s">
        <v>179</v>
      </c>
      <c r="D72" s="48">
        <f t="shared" ref="D72:J72" si="20">SUM(D55:D71)</f>
        <v>0</v>
      </c>
      <c r="E72" s="48">
        <f t="shared" si="20"/>
        <v>0</v>
      </c>
      <c r="F72" s="48">
        <f t="shared" si="20"/>
        <v>0</v>
      </c>
      <c r="G72" s="48">
        <f t="shared" si="20"/>
        <v>0</v>
      </c>
      <c r="H72" s="48">
        <f t="shared" si="20"/>
        <v>0</v>
      </c>
      <c r="I72" s="48">
        <f t="shared" si="20"/>
        <v>0</v>
      </c>
      <c r="J72" s="48">
        <f t="shared" si="20"/>
        <v>0</v>
      </c>
    </row>
    <row r="73" spans="1:10" ht="20.100000000000001" customHeight="1" x14ac:dyDescent="0.4">
      <c r="A73" s="53"/>
      <c r="B73" s="165"/>
      <c r="C73" s="166" t="s">
        <v>200</v>
      </c>
      <c r="D73" s="48">
        <f t="shared" ref="D73:J73" si="21">+D72+D52+D46</f>
        <v>0</v>
      </c>
      <c r="E73" s="48">
        <f t="shared" si="21"/>
        <v>0</v>
      </c>
      <c r="F73" s="48">
        <f t="shared" si="21"/>
        <v>0</v>
      </c>
      <c r="G73" s="48">
        <f t="shared" si="21"/>
        <v>0</v>
      </c>
      <c r="H73" s="48">
        <f t="shared" si="21"/>
        <v>0</v>
      </c>
      <c r="I73" s="48">
        <f t="shared" si="21"/>
        <v>0</v>
      </c>
      <c r="J73" s="48">
        <f t="shared" si="21"/>
        <v>0</v>
      </c>
    </row>
    <row r="74" spans="1:10" ht="31.5" customHeight="1" x14ac:dyDescent="0.3">
      <c r="A74" s="232" t="s">
        <v>337</v>
      </c>
      <c r="B74" s="233"/>
      <c r="C74" s="233"/>
      <c r="D74" s="233"/>
      <c r="E74" s="233"/>
      <c r="F74" s="233"/>
      <c r="G74" s="233"/>
      <c r="H74" s="233"/>
      <c r="I74" s="233"/>
      <c r="J74" s="234"/>
    </row>
    <row r="75" spans="1:10" x14ac:dyDescent="0.3">
      <c r="A75" s="47"/>
      <c r="B75" s="47"/>
      <c r="C75" s="47"/>
      <c r="D75" s="47"/>
      <c r="E75" s="47"/>
      <c r="F75" s="47"/>
      <c r="G75" s="47"/>
      <c r="H75" s="47"/>
      <c r="I75" s="47"/>
      <c r="J75" s="47"/>
    </row>
    <row r="76" spans="1:10" x14ac:dyDescent="0.3">
      <c r="D76" s="231" t="s">
        <v>552</v>
      </c>
      <c r="E76" s="231"/>
      <c r="F76" s="231"/>
      <c r="G76" s="231"/>
      <c r="H76" s="231"/>
      <c r="I76" s="47"/>
      <c r="J76" s="47"/>
    </row>
    <row r="77" spans="1:10" ht="31.2" x14ac:dyDescent="0.3">
      <c r="D77" s="84" t="s">
        <v>142</v>
      </c>
      <c r="E77" s="68" t="s">
        <v>143</v>
      </c>
      <c r="F77" s="85" t="s">
        <v>144</v>
      </c>
      <c r="G77" s="23" t="s">
        <v>145</v>
      </c>
      <c r="H77" s="23" t="s">
        <v>146</v>
      </c>
      <c r="I77" s="47"/>
      <c r="J77" s="47"/>
    </row>
    <row r="78" spans="1:10" x14ac:dyDescent="0.3">
      <c r="D78" s="57" t="s">
        <v>147</v>
      </c>
      <c r="E78" s="83">
        <v>0.2727</v>
      </c>
      <c r="F78" s="86">
        <v>5.4899999999999997E-2</v>
      </c>
      <c r="G78" s="87">
        <v>6.6100000000000006E-2</v>
      </c>
      <c r="H78" s="87">
        <v>5.0000000000000001E-4</v>
      </c>
      <c r="I78" s="47"/>
      <c r="J78" s="47"/>
    </row>
    <row r="79" spans="1:10" x14ac:dyDescent="0.3">
      <c r="D79" s="57" t="s">
        <v>151</v>
      </c>
      <c r="E79" s="83">
        <v>0.32469999999999999</v>
      </c>
      <c r="F79" s="86">
        <v>7.5800000000000006E-2</v>
      </c>
      <c r="G79" s="87">
        <v>0</v>
      </c>
      <c r="H79" s="169">
        <v>0</v>
      </c>
      <c r="I79" s="47"/>
      <c r="J79" s="47"/>
    </row>
    <row r="80" spans="1:10" x14ac:dyDescent="0.3">
      <c r="A80" s="47"/>
      <c r="B80" s="47"/>
      <c r="C80" s="47"/>
      <c r="D80" s="47"/>
      <c r="E80" s="47"/>
      <c r="F80" s="47"/>
      <c r="G80" s="47"/>
      <c r="H80" s="47"/>
      <c r="I80" s="47"/>
      <c r="J80" s="47"/>
    </row>
    <row r="81" spans="1:12" ht="16.5" customHeight="1" x14ac:dyDescent="0.3">
      <c r="A81" s="232" t="s">
        <v>329</v>
      </c>
      <c r="B81" s="233"/>
      <c r="C81" s="233"/>
      <c r="D81" s="233"/>
      <c r="E81" s="233"/>
      <c r="F81" s="233"/>
      <c r="G81" s="233"/>
      <c r="H81" s="234"/>
      <c r="K81" s="34"/>
      <c r="L81" s="34"/>
    </row>
    <row r="82" spans="1:12" x14ac:dyDescent="0.3">
      <c r="A82" s="229" t="s">
        <v>333</v>
      </c>
      <c r="B82" s="37"/>
      <c r="C82" s="103" t="s">
        <v>326</v>
      </c>
      <c r="D82" s="104" t="str">
        <f>D10</f>
        <v/>
      </c>
      <c r="E82" s="104" t="str">
        <f>E10</f>
        <v/>
      </c>
      <c r="F82" s="104" t="str">
        <f>F10</f>
        <v/>
      </c>
      <c r="G82" s="104" t="str">
        <f>G10</f>
        <v/>
      </c>
      <c r="H82" s="105" t="s">
        <v>111</v>
      </c>
      <c r="I82" s="34"/>
      <c r="J82" s="34"/>
    </row>
    <row r="83" spans="1:12" x14ac:dyDescent="0.3">
      <c r="A83" s="229"/>
      <c r="B83" s="101" t="s">
        <v>330</v>
      </c>
      <c r="C83" s="98"/>
      <c r="D83" s="109">
        <f>+C83*$D$73</f>
        <v>0</v>
      </c>
      <c r="E83" s="109">
        <f>+C83*$E$73</f>
        <v>0</v>
      </c>
      <c r="F83" s="109">
        <f>+C83*$F$73</f>
        <v>0</v>
      </c>
      <c r="G83" s="109">
        <f>+C83*$G$73</f>
        <v>0</v>
      </c>
      <c r="H83" s="109">
        <f>SUM(D83:G83)</f>
        <v>0</v>
      </c>
      <c r="I83" s="34"/>
      <c r="J83" s="97"/>
    </row>
    <row r="84" spans="1:12" x14ac:dyDescent="0.3">
      <c r="A84" s="229"/>
      <c r="B84" s="101" t="s">
        <v>331</v>
      </c>
      <c r="C84" s="98"/>
      <c r="D84" s="109">
        <f t="shared" ref="D84:D85" si="22">+C84*$D$73</f>
        <v>0</v>
      </c>
      <c r="E84" s="109">
        <f t="shared" ref="E84:E85" si="23">+C84*$E$73</f>
        <v>0</v>
      </c>
      <c r="F84" s="109">
        <f t="shared" ref="F84:F85" si="24">+C84*$F$73</f>
        <v>0</v>
      </c>
      <c r="G84" s="109">
        <f t="shared" ref="G84:G85" si="25">+C84*$G$73</f>
        <v>0</v>
      </c>
      <c r="H84" s="109">
        <f>SUM(D84:G84)</f>
        <v>0</v>
      </c>
      <c r="I84" s="34"/>
      <c r="J84" s="97"/>
    </row>
    <row r="85" spans="1:12" x14ac:dyDescent="0.3">
      <c r="A85" s="229"/>
      <c r="B85" s="101" t="s">
        <v>332</v>
      </c>
      <c r="C85" s="100"/>
      <c r="D85" s="109">
        <f t="shared" si="22"/>
        <v>0</v>
      </c>
      <c r="E85" s="109">
        <f t="shared" si="23"/>
        <v>0</v>
      </c>
      <c r="F85" s="109">
        <f t="shared" si="24"/>
        <v>0</v>
      </c>
      <c r="G85" s="109">
        <f t="shared" si="25"/>
        <v>0</v>
      </c>
      <c r="H85" s="110">
        <f>SUM(D85:G85)</f>
        <v>0</v>
      </c>
      <c r="I85" s="34"/>
      <c r="J85" s="34"/>
    </row>
    <row r="86" spans="1:12" ht="16.2" thickBot="1" x14ac:dyDescent="0.35">
      <c r="A86" s="230"/>
      <c r="B86" s="102" t="s">
        <v>327</v>
      </c>
      <c r="C86" s="99">
        <f>SUM(C83:C85)</f>
        <v>0</v>
      </c>
      <c r="D86" s="111">
        <f>SUM(D83:D85)</f>
        <v>0</v>
      </c>
      <c r="E86" s="111">
        <f>SUM(E83:E85)</f>
        <v>0</v>
      </c>
      <c r="F86" s="111">
        <f>SUM(F83:F85)</f>
        <v>0</v>
      </c>
      <c r="G86" s="111">
        <f>SUM(G83:G85)</f>
        <v>0</v>
      </c>
      <c r="H86" s="112">
        <f>SUM(D86:G86)</f>
        <v>0</v>
      </c>
      <c r="I86" s="227" t="s">
        <v>328</v>
      </c>
      <c r="J86" s="228"/>
    </row>
    <row r="87" spans="1:12" ht="16.5" customHeight="1" thickTop="1" x14ac:dyDescent="0.3">
      <c r="C87" s="113" t="str">
        <f>IF(AND(C86&lt;&gt;0,C86&lt;&gt;1),"Error: must total 0% or 100%","")</f>
        <v/>
      </c>
    </row>
    <row r="88" spans="1:12" ht="31.5" customHeight="1" x14ac:dyDescent="0.3"/>
    <row r="89" spans="1:12" ht="15.75" customHeight="1" x14ac:dyDescent="0.3"/>
    <row r="90" spans="1:12" ht="31.5" customHeight="1" x14ac:dyDescent="0.3"/>
    <row r="91" spans="1:12" ht="31.5" customHeight="1" x14ac:dyDescent="0.3"/>
    <row r="92" spans="1:12" ht="31.5" customHeight="1" x14ac:dyDescent="0.3"/>
    <row r="93" spans="1:12" ht="31.5" customHeight="1" x14ac:dyDescent="0.3"/>
  </sheetData>
  <sheetProtection algorithmName="SHA-512" hashValue="LlpkzT1CmUwJpwE6cGLpSL5065YdNsseHSJImkpUx9c/6xXZxZHBxuWum3yV4iFw1k+3mp29UPJz5FaEdS1eSQ==" saltValue="ISwUt3aNUzJGPXeNNftpVQ==" spinCount="100000" sheet="1" selectLockedCells="1"/>
  <mergeCells count="44">
    <mergeCell ref="D47:J47"/>
    <mergeCell ref="D48:G48"/>
    <mergeCell ref="A48:A50"/>
    <mergeCell ref="I86:J86"/>
    <mergeCell ref="A82:A86"/>
    <mergeCell ref="D76:H76"/>
    <mergeCell ref="A81:H81"/>
    <mergeCell ref="B59:C59"/>
    <mergeCell ref="A60:A70"/>
    <mergeCell ref="D53:J53"/>
    <mergeCell ref="D54:G54"/>
    <mergeCell ref="A74:J74"/>
    <mergeCell ref="B5:F5"/>
    <mergeCell ref="H10:H12"/>
    <mergeCell ref="A39:A45"/>
    <mergeCell ref="D32:J32"/>
    <mergeCell ref="D38:J38"/>
    <mergeCell ref="D33:G33"/>
    <mergeCell ref="J10:J12"/>
    <mergeCell ref="I10:I12"/>
    <mergeCell ref="E6:F6"/>
    <mergeCell ref="A12:C12"/>
    <mergeCell ref="D39:G39"/>
    <mergeCell ref="B29:C29"/>
    <mergeCell ref="A23:A29"/>
    <mergeCell ref="B41:C41"/>
    <mergeCell ref="B6:D6"/>
    <mergeCell ref="A11:C11"/>
    <mergeCell ref="C1:J1"/>
    <mergeCell ref="A1:B1"/>
    <mergeCell ref="B2:C2"/>
    <mergeCell ref="D23:G23"/>
    <mergeCell ref="B22:J22"/>
    <mergeCell ref="A9:J9"/>
    <mergeCell ref="D14:G14"/>
    <mergeCell ref="A13:J13"/>
    <mergeCell ref="B3:C3"/>
    <mergeCell ref="B4:C4"/>
    <mergeCell ref="A8:J8"/>
    <mergeCell ref="B7:J7"/>
    <mergeCell ref="A10:C10"/>
    <mergeCell ref="E3:F3"/>
    <mergeCell ref="E4:F4"/>
    <mergeCell ref="E2:F2"/>
  </mergeCells>
  <conditionalFormatting sqref="C86">
    <cfRule type="expression" dxfId="23" priority="7">
      <formula>AND($C$86&lt;&gt;0,$C$86&lt;&gt;1)</formula>
    </cfRule>
  </conditionalFormatting>
  <dataValidations xWindow="463" yWindow="303" count="9">
    <dataValidation type="list" allowBlank="1" showInputMessage="1" showErrorMessage="1" error="Select a project year from the list" prompt="Select the project year" sqref="E2">
      <formula1>"New, Year 2 of 3, Year 3 of 3"</formula1>
    </dataValidation>
    <dataValidation type="list" allowBlank="1" showInputMessage="1" showErrorMessage="1" error="Select AES or CES or blank" prompt="Select AES or CES" sqref="D11:G11">
      <formula1>"AES,CES"</formula1>
    </dataValidation>
    <dataValidation allowBlank="1" showInputMessage="1" prompt="If other direct costs, specify" sqref="B59:C59"/>
    <dataValidation type="list" allowBlank="1" showInputMessage="1" showErrorMessage="1" error="Select a Commodity Board from the list" prompt="Select the Commodity Board for this proposal" sqref="B6:D6">
      <formula1>Commodity_Board</formula1>
    </dataValidation>
    <dataValidation type="list" errorStyle="information" allowBlank="1" showInputMessage="1" error="Select a PI name or enter a PI name" prompt="Select a PI name from the list or click in the cell and enter a PI name (Last name, First name)" sqref="B3:C3 E3:E4">
      <formula1>PI_Name</formula1>
    </dataValidation>
    <dataValidation type="list" allowBlank="1" showInputMessage="1" prompt="Select a Co-PI from the list or enter a Co-PI name (last name, first name)" sqref="B4:C4">
      <formula1>PI_Name</formula1>
    </dataValidation>
    <dataValidation type="textLength" operator="lessThanOrEqual" allowBlank="1" showInputMessage="1" showErrorMessage="1" error="Title length exceeds maximum allowed of 130 characters" prompt="Enter the title of the project (100 characters max)" sqref="B7:J7">
      <formula1>130</formula1>
    </dataValidation>
    <dataValidation type="whole" operator="equal" allowBlank="1" showInputMessage="1" showErrorMessage="1" error="Must total 100% or 0%" prompt="Must total 100% or 0%" sqref="C86">
      <formula1>1</formula1>
    </dataValidation>
    <dataValidation type="textLength" allowBlank="1" showInputMessage="1" showErrorMessage="1" error="Maximum space allowed is 35" prompt="If you selected other, specify here (15 characters max)" sqref="E6:F6">
      <formula1>1</formula1>
      <formula2>35</formula2>
    </dataValidation>
  </dataValidations>
  <printOptions horizontalCentered="1"/>
  <pageMargins left="0.5" right="0" top="0.75" bottom="0.5" header="0.25" footer="0.3"/>
  <pageSetup scale="74" fitToHeight="2" orientation="portrait" r:id="rId1"/>
  <headerFooter>
    <oddHeader>&amp;C&amp;"Arial Black,Regular"&amp;14University of Arkansas System Division of Agriculture
&amp;"Arial Black,Bold"Promotion Board Budget</oddHeader>
    <oddFooter>&amp;LVersion 3.0&amp;CPage &amp;P of &amp;N&amp;R2020/2021</oddFooter>
  </headerFooter>
  <rowBreaks count="1" manualBreakCount="1">
    <brk id="52" max="9" man="1"/>
  </rowBreaks>
  <ignoredErrors>
    <ignoredError sqref="H24:H28 H15:H19" formulaRange="1"/>
  </ignoredErrors>
  <extLst>
    <ext xmlns:x14="http://schemas.microsoft.com/office/spreadsheetml/2009/9/main" uri="{CCE6A557-97BC-4b89-ADB6-D9C93CAAB3DF}">
      <x14:dataValidations xmlns:xm="http://schemas.microsoft.com/office/excel/2006/main" xWindow="463" yWindow="303" count="1">
        <x14:dataValidation type="list" allowBlank="1" showInputMessage="1" prompt="Select the reporting department from the list. If the reporting department is not found on the list, click in the cell and enter the reporting department.">
          <x14:formula1>
            <xm:f>Departments!$B$2:$B$43</xm:f>
          </x14:formula1>
          <xm:sqref>B5:F5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8"/>
  <sheetViews>
    <sheetView workbookViewId="0">
      <selection sqref="A1:C1"/>
    </sheetView>
  </sheetViews>
  <sheetFormatPr defaultRowHeight="15.6" x14ac:dyDescent="0.3"/>
  <cols>
    <col min="3" max="3" width="15.69921875" bestFit="1" customWidth="1"/>
    <col min="4" max="4" width="19.8984375" customWidth="1"/>
  </cols>
  <sheetData>
    <row r="1" spans="1:4" x14ac:dyDescent="0.3">
      <c r="A1" s="138" t="s">
        <v>539</v>
      </c>
      <c r="B1" s="139" t="s">
        <v>540</v>
      </c>
      <c r="C1" s="140" t="s">
        <v>541</v>
      </c>
      <c r="D1" s="162" t="s">
        <v>542</v>
      </c>
    </row>
    <row r="2" spans="1:4" x14ac:dyDescent="0.3">
      <c r="A2" s="34" t="s">
        <v>505</v>
      </c>
      <c r="B2" t="s">
        <v>506</v>
      </c>
      <c r="C2" t="s">
        <v>537</v>
      </c>
      <c r="D2" s="47" t="str">
        <f t="shared" ref="D2:D28" si="0">VLOOKUP(C2,PI_Name,1,FALSE)</f>
        <v>Zawislak, Jon</v>
      </c>
    </row>
    <row r="3" spans="1:4" x14ac:dyDescent="0.3">
      <c r="A3" s="34" t="s">
        <v>509</v>
      </c>
      <c r="B3" t="s">
        <v>510</v>
      </c>
      <c r="C3" s="34" t="s">
        <v>445</v>
      </c>
      <c r="D3" s="47" t="str">
        <f t="shared" si="0"/>
        <v>Wilson, Charles</v>
      </c>
    </row>
    <row r="4" spans="1:4" x14ac:dyDescent="0.3">
      <c r="A4" s="34" t="s">
        <v>476</v>
      </c>
      <c r="B4" t="s">
        <v>477</v>
      </c>
      <c r="C4" s="34" t="s">
        <v>524</v>
      </c>
      <c r="D4" s="47" t="str">
        <f t="shared" si="0"/>
        <v>Watkins, Breana</v>
      </c>
    </row>
    <row r="5" spans="1:4" x14ac:dyDescent="0.3">
      <c r="A5" s="34" t="s">
        <v>511</v>
      </c>
      <c r="B5" t="s">
        <v>512</v>
      </c>
      <c r="C5" s="34" t="s">
        <v>317</v>
      </c>
      <c r="D5" s="47" t="str">
        <f t="shared" si="0"/>
        <v>Wamishe, Yeshi</v>
      </c>
    </row>
    <row r="6" spans="1:4" x14ac:dyDescent="0.3">
      <c r="A6" s="34" t="s">
        <v>503</v>
      </c>
      <c r="B6" t="s">
        <v>504</v>
      </c>
      <c r="C6" s="34" t="s">
        <v>536</v>
      </c>
      <c r="D6" s="47" t="str">
        <f t="shared" si="0"/>
        <v>Thrash, Ben</v>
      </c>
    </row>
    <row r="7" spans="1:4" x14ac:dyDescent="0.3">
      <c r="A7" s="34" t="s">
        <v>507</v>
      </c>
      <c r="B7" t="s">
        <v>508</v>
      </c>
      <c r="C7" s="34" t="s">
        <v>313</v>
      </c>
      <c r="D7" s="47" t="str">
        <f t="shared" si="0"/>
        <v>Studebaker, Glenn</v>
      </c>
    </row>
    <row r="8" spans="1:4" x14ac:dyDescent="0.3">
      <c r="A8" s="34" t="s">
        <v>474</v>
      </c>
      <c r="B8" t="s">
        <v>475</v>
      </c>
      <c r="C8" s="34" t="s">
        <v>523</v>
      </c>
      <c r="D8" s="47" t="str">
        <f t="shared" si="0"/>
        <v>Stiles, Scott</v>
      </c>
    </row>
    <row r="9" spans="1:4" x14ac:dyDescent="0.3">
      <c r="A9" s="34" t="s">
        <v>513</v>
      </c>
      <c r="B9" t="s">
        <v>514</v>
      </c>
      <c r="C9" s="34" t="s">
        <v>431</v>
      </c>
      <c r="D9" s="47" t="str">
        <f t="shared" si="0"/>
        <v>Spurlock, Terry</v>
      </c>
    </row>
    <row r="10" spans="1:4" x14ac:dyDescent="0.3">
      <c r="A10" s="34" t="s">
        <v>482</v>
      </c>
      <c r="B10" t="s">
        <v>483</v>
      </c>
      <c r="C10" s="34" t="s">
        <v>527</v>
      </c>
      <c r="D10" s="47" t="str">
        <f t="shared" si="0"/>
        <v>Sadaka, Sammy</v>
      </c>
    </row>
    <row r="11" spans="1:4" x14ac:dyDescent="0.3">
      <c r="A11" s="34" t="s">
        <v>497</v>
      </c>
      <c r="B11" t="s">
        <v>498</v>
      </c>
      <c r="C11" s="34" t="s">
        <v>534</v>
      </c>
      <c r="D11" s="47" t="str">
        <f t="shared" si="0"/>
        <v>Ross, Jeremy</v>
      </c>
    </row>
    <row r="12" spans="1:4" x14ac:dyDescent="0.3">
      <c r="A12" s="34" t="s">
        <v>470</v>
      </c>
      <c r="B12" t="s">
        <v>471</v>
      </c>
      <c r="C12" s="34" t="s">
        <v>521</v>
      </c>
      <c r="D12" s="47" t="str">
        <f t="shared" si="0"/>
        <v>Robinson, Julie</v>
      </c>
    </row>
    <row r="13" spans="1:4" x14ac:dyDescent="0.3">
      <c r="A13" s="34" t="s">
        <v>495</v>
      </c>
      <c r="B13" t="s">
        <v>496</v>
      </c>
      <c r="C13" s="34" t="s">
        <v>533</v>
      </c>
      <c r="D13" s="47" t="str">
        <f t="shared" si="0"/>
        <v>Robertson, Bill</v>
      </c>
    </row>
    <row r="14" spans="1:4" x14ac:dyDescent="0.3">
      <c r="A14" s="34" t="s">
        <v>501</v>
      </c>
      <c r="B14" t="s">
        <v>502</v>
      </c>
      <c r="C14" s="34" t="s">
        <v>535</v>
      </c>
      <c r="D14" s="47" t="str">
        <f t="shared" si="0"/>
        <v>Lorenz, Gus</v>
      </c>
    </row>
    <row r="15" spans="1:4" x14ac:dyDescent="0.3">
      <c r="A15" s="34" t="s">
        <v>513</v>
      </c>
      <c r="B15" t="s">
        <v>517</v>
      </c>
      <c r="C15" s="34" t="s">
        <v>286</v>
      </c>
      <c r="D15" s="47" t="str">
        <f t="shared" si="0"/>
        <v>Kirkpatrick, Terry</v>
      </c>
    </row>
    <row r="16" spans="1:4" x14ac:dyDescent="0.3">
      <c r="A16" s="34" t="s">
        <v>488</v>
      </c>
      <c r="B16" t="s">
        <v>494</v>
      </c>
      <c r="C16" s="34" t="s">
        <v>532</v>
      </c>
      <c r="D16" s="47" t="str">
        <f t="shared" si="0"/>
        <v>Kelley, Jason</v>
      </c>
    </row>
    <row r="17" spans="1:4" x14ac:dyDescent="0.3">
      <c r="A17" s="34" t="s">
        <v>480</v>
      </c>
      <c r="B17" t="s">
        <v>481</v>
      </c>
      <c r="C17" s="34" t="s">
        <v>526</v>
      </c>
      <c r="D17" s="47" t="str">
        <f t="shared" si="0"/>
        <v>Jennings, John</v>
      </c>
    </row>
    <row r="18" spans="1:4" x14ac:dyDescent="0.3">
      <c r="A18" s="34" t="s">
        <v>492</v>
      </c>
      <c r="B18" t="s">
        <v>493</v>
      </c>
      <c r="C18" s="34" t="s">
        <v>531</v>
      </c>
      <c r="D18" s="47" t="str">
        <f t="shared" si="0"/>
        <v>Hardke, Jarrod</v>
      </c>
    </row>
    <row r="19" spans="1:4" x14ac:dyDescent="0.3">
      <c r="A19" s="34" t="s">
        <v>478</v>
      </c>
      <c r="B19" t="s">
        <v>479</v>
      </c>
      <c r="C19" s="34" t="s">
        <v>525</v>
      </c>
      <c r="D19" s="47" t="str">
        <f t="shared" si="0"/>
        <v>Gadberry, Shane</v>
      </c>
    </row>
    <row r="20" spans="1:4" x14ac:dyDescent="0.3">
      <c r="A20" s="34" t="s">
        <v>518</v>
      </c>
      <c r="B20" t="s">
        <v>519</v>
      </c>
      <c r="C20" s="34" t="s">
        <v>538</v>
      </c>
      <c r="D20" s="47" t="str">
        <f t="shared" si="0"/>
        <v>Ford, Vic</v>
      </c>
    </row>
    <row r="21" spans="1:4" x14ac:dyDescent="0.3">
      <c r="A21" s="34" t="s">
        <v>515</v>
      </c>
      <c r="B21" t="s">
        <v>516</v>
      </c>
      <c r="C21" s="34" t="s">
        <v>276</v>
      </c>
      <c r="D21" s="47" t="str">
        <f t="shared" si="0"/>
        <v>Faske, Travis</v>
      </c>
    </row>
    <row r="22" spans="1:4" x14ac:dyDescent="0.3">
      <c r="A22" s="34" t="s">
        <v>490</v>
      </c>
      <c r="B22" t="s">
        <v>491</v>
      </c>
      <c r="C22" s="34" t="s">
        <v>530</v>
      </c>
      <c r="D22" s="47" t="str">
        <f t="shared" si="0"/>
        <v>Espinoza, Leo</v>
      </c>
    </row>
    <row r="23" spans="1:4" x14ac:dyDescent="0.3">
      <c r="A23" s="34" t="s">
        <v>488</v>
      </c>
      <c r="B23" t="s">
        <v>489</v>
      </c>
      <c r="C23" s="34" t="s">
        <v>529</v>
      </c>
      <c r="D23" s="47" t="str">
        <f t="shared" si="0"/>
        <v>Davis, Jason</v>
      </c>
    </row>
    <row r="24" spans="1:4" x14ac:dyDescent="0.3">
      <c r="A24" s="34" t="s">
        <v>486</v>
      </c>
      <c r="B24" t="s">
        <v>487</v>
      </c>
      <c r="C24" s="34" t="s">
        <v>528</v>
      </c>
      <c r="D24" s="47" t="str">
        <f t="shared" si="0"/>
        <v>Daniels, Michael</v>
      </c>
    </row>
    <row r="25" spans="1:4" x14ac:dyDescent="0.3">
      <c r="A25" s="34" t="s">
        <v>472</v>
      </c>
      <c r="B25" t="s">
        <v>473</v>
      </c>
      <c r="C25" s="34" t="s">
        <v>522</v>
      </c>
      <c r="D25" s="47" t="str">
        <f t="shared" si="0"/>
        <v>Bryant, Kelly</v>
      </c>
    </row>
    <row r="26" spans="1:4" x14ac:dyDescent="0.3">
      <c r="A26" s="34" t="s">
        <v>499</v>
      </c>
      <c r="B26" t="s">
        <v>500</v>
      </c>
      <c r="C26" s="34" t="s">
        <v>354</v>
      </c>
      <c r="D26" s="47" t="str">
        <f t="shared" si="0"/>
        <v>Bateman, Nick</v>
      </c>
    </row>
    <row r="27" spans="1:4" x14ac:dyDescent="0.3">
      <c r="A27" s="34" t="s">
        <v>484</v>
      </c>
      <c r="B27" t="s">
        <v>485</v>
      </c>
      <c r="C27" s="34" t="s">
        <v>325</v>
      </c>
      <c r="D27" s="47" t="str">
        <f t="shared" si="0"/>
        <v>Barber, Tom</v>
      </c>
    </row>
    <row r="28" spans="1:4" x14ac:dyDescent="0.3">
      <c r="A28" s="34" t="s">
        <v>468</v>
      </c>
      <c r="B28" t="s">
        <v>469</v>
      </c>
      <c r="C28" s="34" t="s">
        <v>520</v>
      </c>
      <c r="D28" s="47" t="str">
        <f t="shared" si="0"/>
        <v>Ballard, Karen</v>
      </c>
    </row>
  </sheetData>
  <sheetProtection algorithmName="SHA-512" hashValue="P9aPPYDIavZkRaR8xz8kmcMWRwZmCOBKjl2ibDoCOreEY6SLKJ6pJWzifvossC30AJcJU7u3SHGAFf/jhRI0Ow==" saltValue="cZ4t5iNBcXmfOZ1VcEuT7w==" spinCount="100000" sheet="1" selectLockedCells="1"/>
  <autoFilter ref="A1:D28"/>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3"/>
  <sheetViews>
    <sheetView workbookViewId="0">
      <selection sqref="A1:C1"/>
    </sheetView>
  </sheetViews>
  <sheetFormatPr defaultColWidth="9" defaultRowHeight="15.6" x14ac:dyDescent="0.3"/>
  <cols>
    <col min="1" max="1" width="6.59765625" style="6" bestFit="1" customWidth="1"/>
    <col min="2" max="2" width="39.09765625" style="6" customWidth="1"/>
    <col min="3" max="4" width="13.8984375" style="3" hidden="1" customWidth="1"/>
    <col min="5" max="16384" width="9" style="3"/>
  </cols>
  <sheetData>
    <row r="1" spans="1:4" ht="14.4" x14ac:dyDescent="0.3">
      <c r="A1" s="9" t="s">
        <v>110</v>
      </c>
      <c r="B1" s="9" t="s">
        <v>107</v>
      </c>
      <c r="C1" s="2" t="s">
        <v>17</v>
      </c>
      <c r="D1" s="2" t="s">
        <v>18</v>
      </c>
    </row>
    <row r="2" spans="1:4" ht="14.4" x14ac:dyDescent="0.3">
      <c r="A2" s="5" t="s">
        <v>27</v>
      </c>
      <c r="B2" s="5" t="s">
        <v>28</v>
      </c>
      <c r="C2" s="4" t="s">
        <v>21</v>
      </c>
      <c r="D2" s="4" t="s">
        <v>22</v>
      </c>
    </row>
    <row r="3" spans="1:4" ht="15" customHeight="1" x14ac:dyDescent="0.3">
      <c r="A3" s="5" t="s">
        <v>25</v>
      </c>
      <c r="B3" s="5" t="s">
        <v>26</v>
      </c>
      <c r="C3" s="4" t="s">
        <v>21</v>
      </c>
      <c r="D3" s="4" t="s">
        <v>22</v>
      </c>
    </row>
    <row r="4" spans="1:4" ht="14.4" x14ac:dyDescent="0.3">
      <c r="A4" s="5" t="s">
        <v>19</v>
      </c>
      <c r="B4" s="5" t="s">
        <v>20</v>
      </c>
      <c r="C4" s="4" t="s">
        <v>21</v>
      </c>
      <c r="D4" s="4" t="s">
        <v>22</v>
      </c>
    </row>
    <row r="5" spans="1:4" ht="15.75" customHeight="1" x14ac:dyDescent="0.3">
      <c r="A5" s="5" t="s">
        <v>23</v>
      </c>
      <c r="B5" s="5" t="s">
        <v>207</v>
      </c>
      <c r="C5" s="4" t="s">
        <v>21</v>
      </c>
      <c r="D5" s="4" t="s">
        <v>24</v>
      </c>
    </row>
    <row r="6" spans="1:4" ht="14.4" x14ac:dyDescent="0.3">
      <c r="A6" s="5" t="s">
        <v>29</v>
      </c>
      <c r="B6" s="5" t="s">
        <v>30</v>
      </c>
      <c r="C6" s="4" t="s">
        <v>21</v>
      </c>
      <c r="D6" s="4" t="s">
        <v>22</v>
      </c>
    </row>
    <row r="7" spans="1:4" ht="14.4" x14ac:dyDescent="0.3">
      <c r="A7" s="5" t="s">
        <v>31</v>
      </c>
      <c r="B7" s="5" t="s">
        <v>32</v>
      </c>
      <c r="C7" s="4" t="s">
        <v>21</v>
      </c>
      <c r="D7" s="4" t="s">
        <v>22</v>
      </c>
    </row>
    <row r="8" spans="1:4" ht="14.4" x14ac:dyDescent="0.3">
      <c r="A8" s="5" t="s">
        <v>33</v>
      </c>
      <c r="B8" s="5" t="s">
        <v>34</v>
      </c>
      <c r="C8" s="4" t="s">
        <v>21</v>
      </c>
      <c r="D8" s="4" t="s">
        <v>22</v>
      </c>
    </row>
    <row r="9" spans="1:4" ht="14.4" x14ac:dyDescent="0.3">
      <c r="A9" s="5" t="s">
        <v>35</v>
      </c>
      <c r="B9" s="5" t="s">
        <v>36</v>
      </c>
      <c r="C9" s="4" t="s">
        <v>37</v>
      </c>
      <c r="D9" s="4" t="s">
        <v>22</v>
      </c>
    </row>
    <row r="10" spans="1:4" ht="27.6" x14ac:dyDescent="0.3">
      <c r="A10" s="5" t="s">
        <v>38</v>
      </c>
      <c r="B10" s="5" t="s">
        <v>39</v>
      </c>
      <c r="C10" s="4" t="s">
        <v>21</v>
      </c>
      <c r="D10" s="4" t="s">
        <v>40</v>
      </c>
    </row>
    <row r="11" spans="1:4" ht="14.4" x14ac:dyDescent="0.3">
      <c r="A11" s="5" t="s">
        <v>41</v>
      </c>
      <c r="B11" s="5" t="s">
        <v>42</v>
      </c>
      <c r="C11" s="4" t="s">
        <v>21</v>
      </c>
      <c r="D11" s="4" t="s">
        <v>22</v>
      </c>
    </row>
    <row r="12" spans="1:4" ht="14.4" x14ac:dyDescent="0.3">
      <c r="A12" s="5" t="s">
        <v>43</v>
      </c>
      <c r="B12" s="5" t="s">
        <v>44</v>
      </c>
      <c r="C12" s="4" t="s">
        <v>21</v>
      </c>
      <c r="D12" s="4" t="s">
        <v>22</v>
      </c>
    </row>
    <row r="13" spans="1:4" ht="14.4" x14ac:dyDescent="0.3">
      <c r="A13" s="5" t="s">
        <v>45</v>
      </c>
      <c r="B13" s="5" t="s">
        <v>46</v>
      </c>
      <c r="C13" s="4" t="s">
        <v>21</v>
      </c>
      <c r="D13" s="4" t="s">
        <v>22</v>
      </c>
    </row>
    <row r="14" spans="1:4" ht="14.4" x14ac:dyDescent="0.3">
      <c r="A14" s="5" t="s">
        <v>103</v>
      </c>
      <c r="B14" s="5" t="s">
        <v>104</v>
      </c>
      <c r="C14" s="4" t="s">
        <v>21</v>
      </c>
      <c r="D14" s="4" t="s">
        <v>22</v>
      </c>
    </row>
    <row r="15" spans="1:4" ht="14.4" x14ac:dyDescent="0.3">
      <c r="A15" s="5" t="s">
        <v>105</v>
      </c>
      <c r="B15" s="5" t="s">
        <v>106</v>
      </c>
      <c r="C15" s="4" t="s">
        <v>37</v>
      </c>
      <c r="D15" s="4" t="s">
        <v>22</v>
      </c>
    </row>
    <row r="16" spans="1:4" ht="14.4" x14ac:dyDescent="0.3">
      <c r="A16" s="5" t="s">
        <v>51</v>
      </c>
      <c r="B16" s="5" t="s">
        <v>52</v>
      </c>
      <c r="C16" s="4" t="s">
        <v>21</v>
      </c>
      <c r="D16" s="4" t="s">
        <v>22</v>
      </c>
    </row>
    <row r="17" spans="1:4" ht="14.4" x14ac:dyDescent="0.3">
      <c r="A17" s="5" t="s">
        <v>49</v>
      </c>
      <c r="B17" s="5" t="s">
        <v>50</v>
      </c>
      <c r="C17" s="4" t="s">
        <v>21</v>
      </c>
      <c r="D17" s="4" t="s">
        <v>22</v>
      </c>
    </row>
    <row r="18" spans="1:4" ht="14.4" x14ac:dyDescent="0.3">
      <c r="A18" s="5" t="s">
        <v>47</v>
      </c>
      <c r="B18" s="5" t="s">
        <v>48</v>
      </c>
      <c r="C18" s="4" t="s">
        <v>21</v>
      </c>
      <c r="D18" s="4" t="s">
        <v>22</v>
      </c>
    </row>
    <row r="19" spans="1:4" ht="14.4" x14ac:dyDescent="0.3">
      <c r="A19" s="5" t="s">
        <v>53</v>
      </c>
      <c r="B19" s="5" t="s">
        <v>54</v>
      </c>
      <c r="C19" s="4" t="s">
        <v>21</v>
      </c>
      <c r="D19" s="4" t="s">
        <v>22</v>
      </c>
    </row>
    <row r="20" spans="1:4" ht="14.4" x14ac:dyDescent="0.3">
      <c r="A20" s="5" t="s">
        <v>55</v>
      </c>
      <c r="B20" s="5" t="s">
        <v>56</v>
      </c>
      <c r="C20" s="4" t="s">
        <v>21</v>
      </c>
      <c r="D20" s="4" t="s">
        <v>22</v>
      </c>
    </row>
    <row r="21" spans="1:4" ht="14.4" x14ac:dyDescent="0.3">
      <c r="A21" s="5" t="s">
        <v>57</v>
      </c>
      <c r="B21" s="5" t="s">
        <v>58</v>
      </c>
      <c r="C21" s="4" t="s">
        <v>21</v>
      </c>
      <c r="D21" s="4" t="s">
        <v>22</v>
      </c>
    </row>
    <row r="22" spans="1:4" ht="14.4" x14ac:dyDescent="0.3">
      <c r="A22" s="5" t="s">
        <v>59</v>
      </c>
      <c r="B22" s="5" t="s">
        <v>60</v>
      </c>
      <c r="C22" s="4" t="s">
        <v>21</v>
      </c>
      <c r="D22" s="4" t="s">
        <v>22</v>
      </c>
    </row>
    <row r="23" spans="1:4" ht="14.4" x14ac:dyDescent="0.3">
      <c r="A23" s="5" t="s">
        <v>63</v>
      </c>
      <c r="B23" s="5" t="s">
        <v>64</v>
      </c>
      <c r="C23" s="4" t="s">
        <v>21</v>
      </c>
      <c r="D23" s="4" t="s">
        <v>22</v>
      </c>
    </row>
    <row r="24" spans="1:4" ht="14.4" x14ac:dyDescent="0.3">
      <c r="A24" s="5" t="s">
        <v>61</v>
      </c>
      <c r="B24" s="5" t="s">
        <v>62</v>
      </c>
      <c r="C24" s="4" t="s">
        <v>21</v>
      </c>
      <c r="D24" s="4" t="s">
        <v>22</v>
      </c>
    </row>
    <row r="25" spans="1:4" ht="14.4" x14ac:dyDescent="0.3">
      <c r="A25" s="5" t="s">
        <v>67</v>
      </c>
      <c r="B25" s="5" t="s">
        <v>68</v>
      </c>
      <c r="C25" s="4" t="s">
        <v>21</v>
      </c>
      <c r="D25" s="4" t="s">
        <v>22</v>
      </c>
    </row>
    <row r="26" spans="1:4" ht="14.4" x14ac:dyDescent="0.3">
      <c r="A26" s="5" t="s">
        <v>69</v>
      </c>
      <c r="B26" s="5" t="s">
        <v>70</v>
      </c>
      <c r="C26" s="4" t="s">
        <v>21</v>
      </c>
      <c r="D26" s="4" t="s">
        <v>22</v>
      </c>
    </row>
    <row r="27" spans="1:4" ht="14.4" x14ac:dyDescent="0.3">
      <c r="A27" s="5" t="s">
        <v>71</v>
      </c>
      <c r="B27" s="5" t="s">
        <v>72</v>
      </c>
      <c r="C27" s="4" t="s">
        <v>37</v>
      </c>
      <c r="D27" s="4" t="s">
        <v>22</v>
      </c>
    </row>
    <row r="28" spans="1:4" ht="14.4" x14ac:dyDescent="0.3">
      <c r="A28" s="5" t="s">
        <v>65</v>
      </c>
      <c r="B28" s="5" t="s">
        <v>66</v>
      </c>
      <c r="C28" s="4" t="s">
        <v>21</v>
      </c>
      <c r="D28" s="4" t="s">
        <v>22</v>
      </c>
    </row>
    <row r="29" spans="1:4" ht="14.4" x14ac:dyDescent="0.3">
      <c r="A29" s="5" t="s">
        <v>75</v>
      </c>
      <c r="B29" s="5" t="s">
        <v>76</v>
      </c>
      <c r="C29" s="4" t="s">
        <v>21</v>
      </c>
      <c r="D29" s="4" t="s">
        <v>22</v>
      </c>
    </row>
    <row r="30" spans="1:4" ht="14.4" x14ac:dyDescent="0.3">
      <c r="A30" s="5" t="s">
        <v>73</v>
      </c>
      <c r="B30" s="5" t="s">
        <v>74</v>
      </c>
      <c r="C30" s="4" t="s">
        <v>21</v>
      </c>
      <c r="D30" s="4" t="s">
        <v>22</v>
      </c>
    </row>
    <row r="31" spans="1:4" ht="14.4" x14ac:dyDescent="0.3">
      <c r="A31" s="5" t="s">
        <v>77</v>
      </c>
      <c r="B31" s="5" t="s">
        <v>78</v>
      </c>
      <c r="C31" s="4" t="s">
        <v>21</v>
      </c>
      <c r="D31" s="4" t="s">
        <v>22</v>
      </c>
    </row>
    <row r="32" spans="1:4" ht="14.4" x14ac:dyDescent="0.3">
      <c r="A32" s="5" t="s">
        <v>79</v>
      </c>
      <c r="B32" s="5" t="s">
        <v>80</v>
      </c>
      <c r="C32" s="4" t="s">
        <v>37</v>
      </c>
      <c r="D32" s="4" t="s">
        <v>22</v>
      </c>
    </row>
    <row r="33" spans="1:4" ht="14.4" x14ac:dyDescent="0.3">
      <c r="A33" s="5" t="s">
        <v>85</v>
      </c>
      <c r="B33" s="5" t="s">
        <v>86</v>
      </c>
      <c r="C33" s="4" t="s">
        <v>21</v>
      </c>
      <c r="D33" s="4" t="s">
        <v>22</v>
      </c>
    </row>
    <row r="34" spans="1:4" ht="14.4" x14ac:dyDescent="0.3">
      <c r="A34" s="5" t="s">
        <v>81</v>
      </c>
      <c r="B34" s="5" t="s">
        <v>82</v>
      </c>
      <c r="C34" s="4" t="s">
        <v>21</v>
      </c>
      <c r="D34" s="4" t="s">
        <v>22</v>
      </c>
    </row>
    <row r="35" spans="1:4" ht="14.4" x14ac:dyDescent="0.3">
      <c r="A35" s="5" t="s">
        <v>83</v>
      </c>
      <c r="B35" s="5" t="s">
        <v>84</v>
      </c>
      <c r="C35" s="4" t="s">
        <v>21</v>
      </c>
      <c r="D35" s="4" t="s">
        <v>22</v>
      </c>
    </row>
    <row r="36" spans="1:4" ht="14.4" x14ac:dyDescent="0.3">
      <c r="A36" s="5" t="s">
        <v>87</v>
      </c>
      <c r="B36" s="5" t="s">
        <v>88</v>
      </c>
      <c r="C36" s="4" t="s">
        <v>21</v>
      </c>
      <c r="D36" s="4" t="s">
        <v>22</v>
      </c>
    </row>
    <row r="37" spans="1:4" ht="14.4" x14ac:dyDescent="0.3">
      <c r="A37" s="5" t="s">
        <v>101</v>
      </c>
      <c r="B37" s="5" t="s">
        <v>102</v>
      </c>
      <c r="C37" s="4" t="s">
        <v>21</v>
      </c>
      <c r="D37" s="4" t="s">
        <v>22</v>
      </c>
    </row>
    <row r="38" spans="1:4" ht="14.4" x14ac:dyDescent="0.3">
      <c r="A38" s="5" t="s">
        <v>91</v>
      </c>
      <c r="B38" s="5" t="s">
        <v>92</v>
      </c>
      <c r="C38" s="4" t="s">
        <v>21</v>
      </c>
      <c r="D38" s="4" t="s">
        <v>22</v>
      </c>
    </row>
    <row r="39" spans="1:4" ht="14.4" x14ac:dyDescent="0.3">
      <c r="A39" s="5" t="s">
        <v>89</v>
      </c>
      <c r="B39" s="5" t="s">
        <v>90</v>
      </c>
      <c r="C39" s="4" t="s">
        <v>21</v>
      </c>
      <c r="D39" s="4" t="s">
        <v>22</v>
      </c>
    </row>
    <row r="40" spans="1:4" ht="14.4" x14ac:dyDescent="0.3">
      <c r="A40" s="5" t="s">
        <v>93</v>
      </c>
      <c r="B40" s="5" t="s">
        <v>94</v>
      </c>
      <c r="C40" s="4" t="s">
        <v>21</v>
      </c>
      <c r="D40" s="4" t="s">
        <v>22</v>
      </c>
    </row>
    <row r="41" spans="1:4" ht="14.4" x14ac:dyDescent="0.3">
      <c r="A41" s="5" t="s">
        <v>95</v>
      </c>
      <c r="B41" s="5" t="s">
        <v>96</v>
      </c>
      <c r="C41" s="4" t="s">
        <v>37</v>
      </c>
      <c r="D41" s="4" t="s">
        <v>22</v>
      </c>
    </row>
    <row r="42" spans="1:4" ht="14.4" x14ac:dyDescent="0.3">
      <c r="A42" s="5" t="s">
        <v>97</v>
      </c>
      <c r="B42" s="5" t="s">
        <v>98</v>
      </c>
      <c r="C42" s="4" t="s">
        <v>37</v>
      </c>
      <c r="D42" s="4" t="s">
        <v>22</v>
      </c>
    </row>
    <row r="43" spans="1:4" ht="14.4" x14ac:dyDescent="0.3">
      <c r="A43" s="5" t="s">
        <v>99</v>
      </c>
      <c r="B43" s="5" t="s">
        <v>100</v>
      </c>
      <c r="C43" s="4" t="s">
        <v>21</v>
      </c>
      <c r="D43" s="4" t="s">
        <v>22</v>
      </c>
    </row>
  </sheetData>
  <sheetProtection algorithmName="SHA-512" hashValue="yIrm4diJGAMUTTwCObRlM7F0yOGHFnzFZtjey2dswFC2MWU/XOTTpjVWweIkP85yLgvsPKpxgcG0uLQFLA2wLA==" saltValue="rTFxe3rnyf3Sg6df7gLUDg==" spinCount="100000" sheet="1" selectLockedCells="1"/>
  <autoFilter ref="A1:D43">
    <sortState ref="A2:D43">
      <sortCondition ref="B1:B43"/>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3399FF"/>
  </sheetPr>
  <dimension ref="A1:O289"/>
  <sheetViews>
    <sheetView showGridLines="0" zoomScaleNormal="100" workbookViewId="0">
      <selection activeCell="B7" sqref="B7:C7"/>
    </sheetView>
  </sheetViews>
  <sheetFormatPr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 min="14" max="15" width="9" style="34"/>
  </cols>
  <sheetData>
    <row r="1" spans="1:15" s="16" customFormat="1" ht="20.100000000000001" customHeight="1" x14ac:dyDescent="0.3">
      <c r="A1" s="143">
        <f>Lead_Project_Investigator</f>
        <v>0</v>
      </c>
      <c r="B1" s="239">
        <f>Project_Title</f>
        <v>0</v>
      </c>
      <c r="C1" s="239"/>
      <c r="D1" s="239"/>
      <c r="E1" s="239"/>
      <c r="F1" s="239"/>
      <c r="G1" s="125"/>
      <c r="H1" s="125"/>
      <c r="I1" s="125"/>
      <c r="J1" s="125"/>
    </row>
    <row r="2" spans="1:15" s="34" customFormat="1" ht="20.100000000000001" customHeight="1" x14ac:dyDescent="0.3">
      <c r="A2" s="167"/>
      <c r="B2" s="305" t="s">
        <v>215</v>
      </c>
      <c r="C2" s="306"/>
      <c r="D2" s="306"/>
      <c r="E2" s="306"/>
      <c r="F2" s="307"/>
      <c r="G2"/>
      <c r="H2"/>
      <c r="I2"/>
      <c r="J2"/>
      <c r="K2"/>
      <c r="L2"/>
      <c r="M2"/>
    </row>
    <row r="3" spans="1:15" ht="20.100000000000001" customHeight="1" x14ac:dyDescent="0.3">
      <c r="A3" s="161" t="s">
        <v>260</v>
      </c>
      <c r="B3" s="315">
        <f>'Promotion Board Budget'!B3:C3</f>
        <v>0</v>
      </c>
      <c r="C3" s="316"/>
      <c r="D3" s="316"/>
      <c r="E3" s="316"/>
      <c r="F3" s="317"/>
      <c r="G3" s="129"/>
      <c r="N3"/>
      <c r="O3"/>
    </row>
    <row r="4" spans="1:15" s="34" customFormat="1" ht="20.100000000000001" customHeight="1" x14ac:dyDescent="0.3">
      <c r="A4" s="167"/>
      <c r="B4" s="269" t="s">
        <v>210</v>
      </c>
      <c r="C4" s="270"/>
      <c r="D4" s="270"/>
      <c r="E4" s="270"/>
      <c r="F4" s="271"/>
      <c r="G4"/>
      <c r="H4"/>
      <c r="I4"/>
      <c r="J4"/>
      <c r="K4"/>
      <c r="L4"/>
      <c r="M4"/>
    </row>
    <row r="5" spans="1:15" s="17" customFormat="1" ht="56.1" customHeight="1" x14ac:dyDescent="0.3">
      <c r="A5" s="312"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13"/>
      <c r="C5" s="314"/>
      <c r="D5" s="251"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5" s="252"/>
      <c r="F5" s="253"/>
      <c r="G5"/>
      <c r="H5"/>
      <c r="I5"/>
      <c r="J5"/>
      <c r="K5"/>
      <c r="L5"/>
      <c r="M5"/>
      <c r="N5" s="34"/>
      <c r="O5" s="34"/>
    </row>
    <row r="6" spans="1:15" s="17" customFormat="1" x14ac:dyDescent="0.3">
      <c r="A6" s="261" t="s">
        <v>208</v>
      </c>
      <c r="B6" s="261"/>
      <c r="C6" s="261"/>
      <c r="D6" s="254" t="s">
        <v>456</v>
      </c>
      <c r="E6" s="255"/>
      <c r="F6" s="256"/>
      <c r="G6"/>
      <c r="H6"/>
      <c r="I6"/>
      <c r="J6"/>
      <c r="K6"/>
      <c r="L6"/>
      <c r="M6"/>
      <c r="N6" s="34"/>
      <c r="O6" s="34"/>
    </row>
    <row r="7" spans="1:15" s="34" customFormat="1" ht="15.75" customHeight="1" x14ac:dyDescent="0.3">
      <c r="A7" s="58" t="s">
        <v>182</v>
      </c>
      <c r="B7" s="223"/>
      <c r="C7" s="262"/>
      <c r="D7" s="73" t="s">
        <v>455</v>
      </c>
      <c r="E7" s="73" t="s">
        <v>451</v>
      </c>
      <c r="F7" s="73" t="s">
        <v>452</v>
      </c>
      <c r="G7"/>
      <c r="H7"/>
      <c r="I7"/>
      <c r="J7"/>
      <c r="K7"/>
      <c r="L7"/>
      <c r="M7"/>
    </row>
    <row r="8" spans="1:15" s="34" customFormat="1" x14ac:dyDescent="0.3">
      <c r="A8" s="58" t="s">
        <v>201</v>
      </c>
      <c r="B8" s="222"/>
      <c r="C8" s="222"/>
      <c r="D8" s="73" t="s">
        <v>448</v>
      </c>
      <c r="E8" s="156"/>
      <c r="F8" s="157"/>
      <c r="G8" s="113" t="str">
        <f>IF(AND(E8+F8&gt;0,B7&lt;&gt;"RIRE, Stuttgart",B7&lt;&gt;"Rosen Center",B7&lt;&gt;"Lonoke Ag Center"),"* Error - facility not available at selected Research Station","")</f>
        <v/>
      </c>
      <c r="H8"/>
      <c r="I8"/>
      <c r="J8"/>
      <c r="K8"/>
      <c r="L8"/>
      <c r="M8"/>
    </row>
    <row r="9" spans="1:15" s="1" customFormat="1" x14ac:dyDescent="0.3">
      <c r="A9" s="58" t="s">
        <v>183</v>
      </c>
      <c r="B9" s="260"/>
      <c r="C9" s="260"/>
      <c r="D9" s="73" t="s">
        <v>449</v>
      </c>
      <c r="E9" s="156"/>
      <c r="F9" s="158"/>
      <c r="G9" s="113" t="str">
        <f>IF(AND(E9+F9&gt;0,B7&lt;&gt;"Rosen Center",B7&lt;&gt;"RIRE, Stuttgart"),"* Error - facility not available at selected Research Station","")</f>
        <v/>
      </c>
      <c r="H9"/>
      <c r="I9"/>
      <c r="J9"/>
      <c r="K9"/>
      <c r="L9"/>
      <c r="M9"/>
    </row>
    <row r="10" spans="1:15" s="1" customFormat="1" x14ac:dyDescent="0.3">
      <c r="A10" s="58" t="s">
        <v>184</v>
      </c>
      <c r="B10" s="260"/>
      <c r="C10" s="260"/>
      <c r="D10" s="73" t="s">
        <v>450</v>
      </c>
      <c r="E10" s="156"/>
      <c r="F10" s="158"/>
      <c r="G10" s="113" t="str">
        <f>IF(AND(E10+F10&gt;0,B7&lt;&gt;"Rosen Center"),"* Error - facility not available at selected Research Station","")</f>
        <v/>
      </c>
      <c r="H10"/>
      <c r="I10"/>
      <c r="J10"/>
      <c r="K10"/>
      <c r="L10"/>
      <c r="M10"/>
    </row>
    <row r="11" spans="1:15" s="1" customFormat="1" ht="15.75" customHeight="1" x14ac:dyDescent="0.3">
      <c r="A11" s="58" t="s">
        <v>185</v>
      </c>
      <c r="B11" s="260"/>
      <c r="C11" s="260"/>
      <c r="D11" s="263" t="str">
        <f>IF(OR(G8="* Error - facility not available at selected Research Station",G9="* Error - facility not available at selected Research Station",G10="* Error - facility not available at selected Research Station"),"See error message(s)","")</f>
        <v/>
      </c>
      <c r="E11" s="264"/>
      <c r="F11" s="265"/>
      <c r="G11"/>
      <c r="H11"/>
      <c r="I11"/>
      <c r="J11"/>
      <c r="K11"/>
      <c r="L11"/>
      <c r="M11"/>
    </row>
    <row r="12" spans="1:15" s="1" customFormat="1" ht="15.75" customHeight="1" x14ac:dyDescent="0.3">
      <c r="A12" s="58" t="s">
        <v>186</v>
      </c>
      <c r="B12" s="260"/>
      <c r="C12" s="260"/>
      <c r="D12" s="266"/>
      <c r="E12" s="267"/>
      <c r="F12" s="268"/>
      <c r="H12"/>
      <c r="I12"/>
      <c r="J12"/>
      <c r="K12"/>
      <c r="L12"/>
      <c r="M12"/>
    </row>
    <row r="13" spans="1:15" s="1" customFormat="1" ht="75.75" customHeight="1" x14ac:dyDescent="0.45">
      <c r="A13" s="259" t="s">
        <v>335</v>
      </c>
      <c r="B13" s="259"/>
      <c r="C13" s="259"/>
      <c r="D13" s="259"/>
      <c r="E13" s="259"/>
      <c r="F13" s="259"/>
      <c r="G13"/>
      <c r="H13"/>
      <c r="I13"/>
      <c r="J13"/>
      <c r="K13"/>
      <c r="L13"/>
      <c r="M13"/>
      <c r="N13" s="59"/>
    </row>
    <row r="14" spans="1:15" ht="31.2" x14ac:dyDescent="0.3">
      <c r="A14" s="61" t="s">
        <v>11</v>
      </c>
      <c r="B14" s="61" t="s">
        <v>114</v>
      </c>
      <c r="C14" s="93" t="s">
        <v>141</v>
      </c>
      <c r="D14" s="61" t="s">
        <v>132</v>
      </c>
      <c r="N14" s="60"/>
    </row>
    <row r="15" spans="1:15" x14ac:dyDescent="0.3">
      <c r="A15" s="62" t="s">
        <v>113</v>
      </c>
      <c r="B15" s="63" t="e">
        <f>IF(OR(B7="Rosen Center",B7="Lonoke Ag Center"),0,IF(B7&lt;&gt;"RIRE, Stuttgart",HLOOKUP(B8,Fixed_Rate_Optional,2,FALSE)*B9,100*B9))</f>
        <v>#N/A</v>
      </c>
      <c r="C15" s="64" t="s">
        <v>112</v>
      </c>
      <c r="D15" s="118" t="e">
        <f t="shared" ref="D15:D33" si="0">IF(C15="Yes",B15,0)</f>
        <v>#N/A</v>
      </c>
    </row>
    <row r="16" spans="1:15" s="17" customFormat="1" x14ac:dyDescent="0.3">
      <c r="A16" s="28" t="s">
        <v>140</v>
      </c>
      <c r="B16" s="308"/>
      <c r="C16" s="309"/>
      <c r="D16" s="310"/>
      <c r="E16"/>
      <c r="F16" s="146"/>
      <c r="G16"/>
      <c r="H16"/>
      <c r="I16"/>
      <c r="J16"/>
      <c r="K16"/>
      <c r="L16"/>
      <c r="M16"/>
      <c r="N16" s="34"/>
      <c r="O16" s="34"/>
    </row>
    <row r="17" spans="1:15" x14ac:dyDescent="0.3">
      <c r="A17" s="62" t="s">
        <v>5</v>
      </c>
      <c r="B17" s="65" t="e">
        <f t="shared" ref="B17:B25" si="1">IF(OR($B$7="Rosen Center",$B$7="Lonoke Ag Center"),0,INDEX(Fixed_Rate_Optional,MATCH(A17,Expense_Item,0),MATCH($B$8,Commodity_Item,0))*$B$9)</f>
        <v>#N/A</v>
      </c>
      <c r="C17" s="66"/>
      <c r="D17" s="63">
        <f t="shared" si="0"/>
        <v>0</v>
      </c>
      <c r="F17" s="146"/>
    </row>
    <row r="18" spans="1:15" x14ac:dyDescent="0.3">
      <c r="A18" s="62" t="s">
        <v>6</v>
      </c>
      <c r="B18" s="65" t="e">
        <f t="shared" si="1"/>
        <v>#N/A</v>
      </c>
      <c r="C18" s="66"/>
      <c r="D18" s="63">
        <f t="shared" si="0"/>
        <v>0</v>
      </c>
    </row>
    <row r="19" spans="1:15" x14ac:dyDescent="0.3">
      <c r="A19" s="62" t="s">
        <v>7</v>
      </c>
      <c r="B19" s="65" t="e">
        <f t="shared" si="1"/>
        <v>#N/A</v>
      </c>
      <c r="C19" s="66"/>
      <c r="D19" s="63">
        <f t="shared" si="0"/>
        <v>0</v>
      </c>
    </row>
    <row r="20" spans="1:15" x14ac:dyDescent="0.3">
      <c r="A20" s="62" t="s">
        <v>8</v>
      </c>
      <c r="B20" s="65" t="e">
        <f t="shared" si="1"/>
        <v>#N/A</v>
      </c>
      <c r="C20" s="66"/>
      <c r="D20" s="63">
        <f t="shared" si="0"/>
        <v>0</v>
      </c>
    </row>
    <row r="21" spans="1:15" x14ac:dyDescent="0.3">
      <c r="A21" s="62" t="s">
        <v>9</v>
      </c>
      <c r="B21" s="65" t="e">
        <f t="shared" si="1"/>
        <v>#N/A</v>
      </c>
      <c r="C21" s="66"/>
      <c r="D21" s="63">
        <f t="shared" si="0"/>
        <v>0</v>
      </c>
    </row>
    <row r="22" spans="1:15" x14ac:dyDescent="0.3">
      <c r="A22" s="62" t="s">
        <v>10</v>
      </c>
      <c r="B22" s="65" t="e">
        <f t="shared" si="1"/>
        <v>#N/A</v>
      </c>
      <c r="C22" s="66"/>
      <c r="D22" s="63">
        <f t="shared" si="0"/>
        <v>0</v>
      </c>
    </row>
    <row r="23" spans="1:15" x14ac:dyDescent="0.3">
      <c r="A23" s="62" t="s">
        <v>13</v>
      </c>
      <c r="B23" s="65" t="e">
        <f t="shared" si="1"/>
        <v>#N/A</v>
      </c>
      <c r="C23" s="66"/>
      <c r="D23" s="63">
        <f t="shared" si="0"/>
        <v>0</v>
      </c>
    </row>
    <row r="24" spans="1:15" x14ac:dyDescent="0.3">
      <c r="A24" s="62" t="s">
        <v>14</v>
      </c>
      <c r="B24" s="65" t="e">
        <f t="shared" si="1"/>
        <v>#N/A</v>
      </c>
      <c r="C24" s="66"/>
      <c r="D24" s="63">
        <f t="shared" si="0"/>
        <v>0</v>
      </c>
    </row>
    <row r="25" spans="1:15" x14ac:dyDescent="0.3">
      <c r="A25" s="62" t="s">
        <v>15</v>
      </c>
      <c r="B25" s="65" t="e">
        <f t="shared" si="1"/>
        <v>#N/A</v>
      </c>
      <c r="C25" s="66"/>
      <c r="D25" s="63">
        <f t="shared" si="0"/>
        <v>0</v>
      </c>
    </row>
    <row r="26" spans="1:15" x14ac:dyDescent="0.3">
      <c r="A26" s="62" t="s">
        <v>16</v>
      </c>
      <c r="B26" s="12" t="e">
        <f>IF(OR(B7="Rosen Center",B7="Lonoke Ag Center"),0,INDEX(Fixed_Rate_Optional,MATCH(A26,Expense_Item,0),MATCH(B8,Commodity_Item,0))*B11*B12)</f>
        <v>#N/A</v>
      </c>
      <c r="C26" s="66"/>
      <c r="D26" s="63">
        <f t="shared" si="0"/>
        <v>0</v>
      </c>
    </row>
    <row r="27" spans="1:15" s="17" customFormat="1" x14ac:dyDescent="0.3">
      <c r="A27" s="28" t="s">
        <v>133</v>
      </c>
      <c r="B27" s="308"/>
      <c r="C27" s="309"/>
      <c r="D27" s="310"/>
      <c r="E27"/>
      <c r="G27"/>
      <c r="H27"/>
      <c r="I27"/>
      <c r="J27"/>
      <c r="K27"/>
      <c r="L27"/>
      <c r="M27"/>
      <c r="N27" s="34"/>
      <c r="O27" s="34"/>
    </row>
    <row r="28" spans="1:15" s="17" customFormat="1" x14ac:dyDescent="0.3">
      <c r="A28" s="62" t="s">
        <v>134</v>
      </c>
      <c r="B28" s="65" t="e">
        <f t="shared" ref="B28:B33" si="2">IF(OR($B$7="Rosen Center",$B$7="Lonoke Ag Center"),0,INDEX(Fixed_Rate_Optional,MATCH(A28,Expense_Item,0),MATCH($B$8,Commodity_Item,0))*$B$9)</f>
        <v>#N/A</v>
      </c>
      <c r="C28" s="66"/>
      <c r="D28" s="63">
        <f t="shared" si="0"/>
        <v>0</v>
      </c>
      <c r="E28"/>
      <c r="G28"/>
      <c r="H28"/>
      <c r="I28"/>
      <c r="J28"/>
      <c r="K28"/>
      <c r="L28"/>
      <c r="M28"/>
      <c r="N28" s="34"/>
      <c r="O28" s="34"/>
    </row>
    <row r="29" spans="1:15" s="17" customFormat="1" x14ac:dyDescent="0.3">
      <c r="A29" s="62" t="s">
        <v>135</v>
      </c>
      <c r="B29" s="65" t="e">
        <f t="shared" si="2"/>
        <v>#N/A</v>
      </c>
      <c r="C29" s="66"/>
      <c r="D29" s="63">
        <f t="shared" si="0"/>
        <v>0</v>
      </c>
      <c r="E29"/>
      <c r="G29"/>
      <c r="H29"/>
      <c r="I29"/>
      <c r="J29"/>
      <c r="K29"/>
      <c r="L29"/>
      <c r="M29"/>
      <c r="N29" s="34"/>
      <c r="O29" s="34"/>
    </row>
    <row r="30" spans="1:15" s="17" customFormat="1" x14ac:dyDescent="0.3">
      <c r="A30" s="62" t="s">
        <v>136</v>
      </c>
      <c r="B30" s="65" t="e">
        <f t="shared" si="2"/>
        <v>#N/A</v>
      </c>
      <c r="C30" s="66"/>
      <c r="D30" s="63">
        <f t="shared" si="0"/>
        <v>0</v>
      </c>
      <c r="E30"/>
      <c r="G30"/>
      <c r="H30"/>
      <c r="I30"/>
      <c r="J30"/>
      <c r="K30"/>
      <c r="L30"/>
      <c r="M30"/>
      <c r="N30" s="34"/>
      <c r="O30" s="34"/>
    </row>
    <row r="31" spans="1:15" s="17" customFormat="1" x14ac:dyDescent="0.3">
      <c r="A31" s="62" t="s">
        <v>137</v>
      </c>
      <c r="B31" s="65" t="e">
        <f t="shared" si="2"/>
        <v>#N/A</v>
      </c>
      <c r="C31" s="66"/>
      <c r="D31" s="63">
        <f t="shared" si="0"/>
        <v>0</v>
      </c>
      <c r="E31"/>
      <c r="G31"/>
      <c r="H31"/>
      <c r="I31"/>
      <c r="J31"/>
      <c r="K31"/>
      <c r="L31"/>
      <c r="M31"/>
      <c r="N31" s="34"/>
      <c r="O31" s="34"/>
    </row>
    <row r="32" spans="1:15" s="17" customFormat="1" x14ac:dyDescent="0.3">
      <c r="A32" s="62" t="s">
        <v>138</v>
      </c>
      <c r="B32" s="65" t="e">
        <f t="shared" si="2"/>
        <v>#N/A</v>
      </c>
      <c r="C32" s="66"/>
      <c r="D32" s="63">
        <f t="shared" si="0"/>
        <v>0</v>
      </c>
      <c r="E32"/>
      <c r="G32"/>
      <c r="H32"/>
      <c r="I32"/>
      <c r="J32"/>
      <c r="K32"/>
      <c r="L32"/>
      <c r="M32"/>
      <c r="N32" s="34"/>
      <c r="O32" s="34"/>
    </row>
    <row r="33" spans="1:15" s="17" customFormat="1" x14ac:dyDescent="0.3">
      <c r="A33" s="62" t="s">
        <v>139</v>
      </c>
      <c r="B33" s="65" t="e">
        <f t="shared" si="2"/>
        <v>#N/A</v>
      </c>
      <c r="C33" s="66"/>
      <c r="D33" s="63">
        <f t="shared" si="0"/>
        <v>0</v>
      </c>
      <c r="E33"/>
      <c r="G33"/>
      <c r="H33"/>
      <c r="I33"/>
      <c r="J33"/>
      <c r="K33"/>
      <c r="L33"/>
      <c r="M33"/>
      <c r="N33" s="34"/>
      <c r="O33" s="34"/>
    </row>
    <row r="34" spans="1:15" s="21" customFormat="1" ht="15.75" customHeight="1" x14ac:dyDescent="0.3">
      <c r="A34" s="28" t="s">
        <v>111</v>
      </c>
      <c r="B34" s="121"/>
      <c r="C34" s="78"/>
      <c r="D34" s="92" t="e">
        <f>SUM(D15,D17:D26,D28:D33)</f>
        <v>#N/A</v>
      </c>
      <c r="E34" s="34"/>
      <c r="G34"/>
      <c r="H34"/>
      <c r="I34"/>
      <c r="J34"/>
      <c r="K34"/>
      <c r="L34"/>
      <c r="M34"/>
    </row>
    <row r="35" spans="1:15" s="21" customFormat="1" ht="15.75" customHeight="1" x14ac:dyDescent="0.3">
      <c r="A35" s="28" t="s">
        <v>460</v>
      </c>
      <c r="B35" s="29" t="s">
        <v>464</v>
      </c>
      <c r="C35" s="29" t="s">
        <v>466</v>
      </c>
      <c r="D35" s="29" t="s">
        <v>465</v>
      </c>
      <c r="E35" s="29" t="s">
        <v>111</v>
      </c>
      <c r="F35" s="34"/>
      <c r="G35" s="34"/>
      <c r="H35" s="34"/>
      <c r="I35" s="34"/>
      <c r="J35" s="34"/>
      <c r="K35" s="34"/>
      <c r="L35" s="34"/>
    </row>
    <row r="36" spans="1:15" s="21" customFormat="1" ht="15.75" customHeight="1" x14ac:dyDescent="0.3">
      <c r="A36" s="68" t="s">
        <v>457</v>
      </c>
      <c r="B36" s="132">
        <f>Greenhouse_Rate</f>
        <v>1</v>
      </c>
      <c r="C36" s="137">
        <f>IF(OR(B7="Lonoke Ag Center",B7="RIRE, Stuttgart",B7="Rosen Center"),E8,0)</f>
        <v>0</v>
      </c>
      <c r="D36" s="136">
        <f>IF(OR(B7="Lonoke Ag Center",B7="RIRE, Stuttgart",B7="Rosen Center"),F8,0)</f>
        <v>0</v>
      </c>
      <c r="E36" s="135">
        <f>C36*D36*B36</f>
        <v>0</v>
      </c>
      <c r="F36" s="34"/>
      <c r="G36" s="34"/>
      <c r="H36" s="34"/>
      <c r="I36" s="34"/>
      <c r="J36" s="34"/>
      <c r="K36" s="34"/>
      <c r="L36" s="34"/>
    </row>
    <row r="37" spans="1:15" s="21" customFormat="1" ht="15.75" customHeight="1" x14ac:dyDescent="0.3">
      <c r="A37" s="68" t="s">
        <v>458</v>
      </c>
      <c r="B37" s="132">
        <f>Growth_Chamber_Rate</f>
        <v>6.8</v>
      </c>
      <c r="C37" s="137">
        <f>IF(OR(B7="RIRE, Stuttgart",B7="Rosen Center"),E9,0)</f>
        <v>0</v>
      </c>
      <c r="D37" s="136">
        <f>IF(OR(B7="RIRE, Stuttgart",B7="Rosen Center"),F9,0)</f>
        <v>0</v>
      </c>
      <c r="E37" s="135">
        <f>C37*D37*B37</f>
        <v>0</v>
      </c>
      <c r="F37" s="34"/>
      <c r="G37" s="34"/>
      <c r="H37" s="34"/>
      <c r="I37" s="34"/>
      <c r="J37" s="34"/>
      <c r="K37" s="34"/>
      <c r="L37" s="34"/>
    </row>
    <row r="38" spans="1:15" s="21" customFormat="1" ht="15.75" customHeight="1" x14ac:dyDescent="0.3">
      <c r="A38" s="68" t="s">
        <v>459</v>
      </c>
      <c r="B38" s="132">
        <f>Quarantine_Rate</f>
        <v>1.1000000000000001</v>
      </c>
      <c r="C38" s="137">
        <f>IF(B7="Rosen Center",E10,0)</f>
        <v>0</v>
      </c>
      <c r="D38" s="136">
        <f>IF(B7="Rosen Center",F10,0)</f>
        <v>0</v>
      </c>
      <c r="E38" s="135">
        <f>C38*D38*B38</f>
        <v>0</v>
      </c>
      <c r="F38" s="34"/>
      <c r="G38" s="34"/>
      <c r="H38" s="34"/>
      <c r="I38" s="34"/>
      <c r="J38" s="34"/>
      <c r="K38" s="34"/>
      <c r="L38" s="34"/>
    </row>
    <row r="39" spans="1:15" s="21" customFormat="1" ht="15.75" customHeight="1" x14ac:dyDescent="0.3">
      <c r="A39" s="130" t="s">
        <v>111</v>
      </c>
      <c r="B39" s="144"/>
      <c r="C39" s="137">
        <f>SUM(C36:C38)</f>
        <v>0</v>
      </c>
      <c r="D39" s="136">
        <f>SUM(D36:D38)</f>
        <v>0</v>
      </c>
      <c r="E39" s="147">
        <f>SUM(E36:E38)</f>
        <v>0</v>
      </c>
      <c r="F39" s="34"/>
      <c r="G39" s="34"/>
      <c r="H39" s="34"/>
      <c r="I39" s="34"/>
      <c r="J39" s="34"/>
      <c r="K39" s="34"/>
      <c r="L39" s="34"/>
    </row>
    <row r="40" spans="1:15" s="21" customFormat="1" ht="15.75" customHeight="1" x14ac:dyDescent="0.3">
      <c r="A40" s="254" t="s">
        <v>229</v>
      </c>
      <c r="B40" s="255"/>
      <c r="C40" s="255"/>
      <c r="D40" s="255"/>
      <c r="E40" s="255"/>
      <c r="F40" s="256"/>
      <c r="G40"/>
      <c r="H40"/>
      <c r="I40"/>
      <c r="J40"/>
      <c r="K40"/>
      <c r="L40"/>
      <c r="M40"/>
    </row>
    <row r="41" spans="1:15" s="21" customFormat="1" x14ac:dyDescent="0.3">
      <c r="A41" s="68" t="s">
        <v>115</v>
      </c>
      <c r="B41" s="278"/>
      <c r="C41" s="278"/>
      <c r="D41" s="278"/>
      <c r="E41" s="278"/>
      <c r="F41" s="278"/>
      <c r="G41"/>
      <c r="H41"/>
      <c r="I41"/>
      <c r="J41"/>
      <c r="K41"/>
      <c r="L41"/>
      <c r="M41"/>
    </row>
    <row r="42" spans="1:15" s="21" customFormat="1" x14ac:dyDescent="0.3">
      <c r="A42" s="68" t="s">
        <v>116</v>
      </c>
      <c r="B42" s="311"/>
      <c r="C42" s="289"/>
      <c r="D42" s="289"/>
      <c r="E42" s="289"/>
      <c r="F42" s="289"/>
      <c r="G42"/>
      <c r="H42"/>
      <c r="I42"/>
      <c r="J42"/>
      <c r="K42"/>
      <c r="L42"/>
      <c r="M42"/>
    </row>
    <row r="43" spans="1:15" s="21" customFormat="1" x14ac:dyDescent="0.3">
      <c r="A43" s="68" t="s">
        <v>117</v>
      </c>
      <c r="B43" s="257"/>
      <c r="C43" s="258"/>
      <c r="D43" s="258"/>
      <c r="E43" s="258"/>
      <c r="F43" s="258"/>
      <c r="G43"/>
      <c r="H43"/>
      <c r="I43"/>
      <c r="J43"/>
      <c r="K43"/>
      <c r="L43"/>
      <c r="M43"/>
    </row>
    <row r="44" spans="1:15" s="21" customFormat="1" x14ac:dyDescent="0.3">
      <c r="A44" s="68" t="s">
        <v>228</v>
      </c>
      <c r="B44" s="257"/>
      <c r="C44" s="258"/>
      <c r="D44" s="258"/>
      <c r="E44" s="258"/>
      <c r="F44" s="258"/>
      <c r="G44"/>
      <c r="H44"/>
      <c r="I44"/>
      <c r="J44"/>
      <c r="K44"/>
      <c r="L44"/>
      <c r="M44"/>
    </row>
    <row r="45" spans="1:15" s="21" customFormat="1" x14ac:dyDescent="0.3">
      <c r="A45" s="68" t="s">
        <v>118</v>
      </c>
      <c r="B45" s="257"/>
      <c r="C45" s="258"/>
      <c r="D45" s="258"/>
      <c r="E45" s="258"/>
      <c r="F45" s="258"/>
      <c r="G45"/>
      <c r="H45"/>
      <c r="I45"/>
      <c r="J45"/>
      <c r="K45"/>
      <c r="L45"/>
      <c r="M45"/>
    </row>
    <row r="46" spans="1:15" s="21" customFormat="1" x14ac:dyDescent="0.3">
      <c r="A46" s="68" t="s">
        <v>126</v>
      </c>
      <c r="B46" s="277"/>
      <c r="C46" s="277"/>
      <c r="D46" s="277"/>
      <c r="E46" s="277"/>
      <c r="F46" s="277"/>
      <c r="G46"/>
      <c r="H46"/>
      <c r="I46"/>
      <c r="J46"/>
      <c r="K46"/>
      <c r="L46"/>
      <c r="M46"/>
    </row>
    <row r="47" spans="1:15" s="21" customFormat="1" x14ac:dyDescent="0.3">
      <c r="A47" s="68" t="s">
        <v>127</v>
      </c>
      <c r="B47" s="277"/>
      <c r="C47" s="277"/>
      <c r="D47" s="277"/>
      <c r="E47" s="277"/>
      <c r="F47" s="277"/>
      <c r="G47"/>
      <c r="H47"/>
      <c r="I47"/>
      <c r="J47"/>
      <c r="K47"/>
      <c r="L47"/>
      <c r="M47"/>
    </row>
    <row r="48" spans="1:15" s="21" customFormat="1" x14ac:dyDescent="0.3">
      <c r="A48" s="68" t="s">
        <v>119</v>
      </c>
      <c r="B48" s="277"/>
      <c r="C48" s="277"/>
      <c r="D48" s="277"/>
      <c r="E48" s="277"/>
      <c r="F48" s="277"/>
      <c r="G48"/>
      <c r="H48"/>
      <c r="I48"/>
      <c r="J48"/>
      <c r="K48"/>
      <c r="L48"/>
      <c r="M48"/>
    </row>
    <row r="49" spans="1:15" s="21" customFormat="1" x14ac:dyDescent="0.3">
      <c r="A49" s="290" t="s">
        <v>120</v>
      </c>
      <c r="B49" s="286"/>
      <c r="C49" s="287"/>
      <c r="D49" s="287"/>
      <c r="E49" s="287"/>
      <c r="F49" s="288"/>
      <c r="G49"/>
      <c r="H49"/>
      <c r="I49"/>
      <c r="J49"/>
      <c r="K49"/>
      <c r="L49"/>
      <c r="M49"/>
    </row>
    <row r="50" spans="1:15" s="21" customFormat="1" x14ac:dyDescent="0.3">
      <c r="A50" s="291"/>
      <c r="B50" s="240"/>
      <c r="C50" s="241"/>
      <c r="D50" s="241"/>
      <c r="E50" s="241"/>
      <c r="F50" s="242"/>
      <c r="G50"/>
      <c r="H50"/>
      <c r="I50"/>
      <c r="J50"/>
      <c r="K50"/>
      <c r="L50"/>
      <c r="M50"/>
    </row>
    <row r="51" spans="1:15" s="21" customFormat="1" x14ac:dyDescent="0.3">
      <c r="A51" s="291"/>
      <c r="B51" s="240"/>
      <c r="C51" s="241"/>
      <c r="D51" s="241"/>
      <c r="E51" s="241"/>
      <c r="F51" s="242"/>
      <c r="G51"/>
      <c r="H51"/>
      <c r="I51"/>
      <c r="J51"/>
      <c r="K51"/>
      <c r="L51"/>
      <c r="M51"/>
    </row>
    <row r="52" spans="1:15" s="21" customFormat="1" x14ac:dyDescent="0.3">
      <c r="A52" s="291"/>
      <c r="B52" s="240"/>
      <c r="C52" s="241"/>
      <c r="D52" s="241"/>
      <c r="E52" s="241"/>
      <c r="F52" s="242"/>
      <c r="G52"/>
      <c r="H52"/>
      <c r="I52"/>
      <c r="J52"/>
      <c r="K52"/>
      <c r="L52"/>
      <c r="M52"/>
    </row>
    <row r="53" spans="1:15" s="21" customFormat="1" x14ac:dyDescent="0.3">
      <c r="A53" s="291"/>
      <c r="B53" s="240"/>
      <c r="C53" s="241"/>
      <c r="D53" s="241"/>
      <c r="E53" s="241"/>
      <c r="F53" s="242"/>
      <c r="G53"/>
      <c r="H53"/>
      <c r="I53"/>
      <c r="J53"/>
      <c r="K53"/>
      <c r="L53"/>
      <c r="M53"/>
    </row>
    <row r="54" spans="1:15" s="21" customFormat="1" x14ac:dyDescent="0.3">
      <c r="A54" s="291"/>
      <c r="B54" s="240"/>
      <c r="C54" s="241"/>
      <c r="D54" s="241"/>
      <c r="E54" s="241"/>
      <c r="F54" s="242"/>
      <c r="G54"/>
      <c r="H54"/>
      <c r="I54"/>
      <c r="J54"/>
      <c r="K54"/>
      <c r="L54"/>
      <c r="M54"/>
    </row>
    <row r="55" spans="1:15" s="21" customFormat="1" x14ac:dyDescent="0.3">
      <c r="A55" s="291"/>
      <c r="B55" s="240"/>
      <c r="C55" s="241"/>
      <c r="D55" s="241"/>
      <c r="E55" s="241"/>
      <c r="F55" s="242"/>
      <c r="G55"/>
      <c r="H55"/>
      <c r="I55"/>
      <c r="J55"/>
      <c r="K55"/>
      <c r="L55"/>
      <c r="M55"/>
    </row>
    <row r="56" spans="1:15" s="21" customFormat="1" x14ac:dyDescent="0.3">
      <c r="A56" s="291"/>
      <c r="B56" s="240"/>
      <c r="C56" s="241"/>
      <c r="D56" s="241"/>
      <c r="E56" s="241"/>
      <c r="F56" s="242"/>
      <c r="G56"/>
      <c r="H56"/>
      <c r="I56"/>
      <c r="J56"/>
      <c r="K56"/>
      <c r="L56"/>
      <c r="M56"/>
    </row>
    <row r="57" spans="1:15" s="21" customFormat="1" ht="20.100000000000001" customHeight="1" x14ac:dyDescent="0.3">
      <c r="A57" s="292"/>
      <c r="B57" s="296"/>
      <c r="C57" s="285"/>
      <c r="D57" s="285"/>
      <c r="E57" s="285"/>
      <c r="F57" s="285"/>
      <c r="G57"/>
      <c r="H57"/>
      <c r="I57"/>
      <c r="J57"/>
      <c r="K57"/>
      <c r="L57"/>
      <c r="M57"/>
    </row>
    <row r="58" spans="1:15" ht="20.100000000000001" customHeight="1" x14ac:dyDescent="0.3">
      <c r="A58" s="73" t="s">
        <v>121</v>
      </c>
      <c r="B58" s="249" t="s">
        <v>230</v>
      </c>
      <c r="C58" s="249"/>
      <c r="D58" s="18"/>
      <c r="E58" s="283"/>
      <c r="F58" s="284"/>
      <c r="N58"/>
      <c r="O58"/>
    </row>
    <row r="59" spans="1:15" ht="20.100000000000001" customHeight="1" x14ac:dyDescent="0.3">
      <c r="A59" s="68" t="s">
        <v>231</v>
      </c>
      <c r="B59" s="250"/>
      <c r="C59" s="244"/>
      <c r="D59" s="244"/>
      <c r="E59" s="244"/>
      <c r="F59" s="245"/>
      <c r="N59"/>
      <c r="O59"/>
    </row>
    <row r="60" spans="1:15" s="34" customFormat="1" ht="20.100000000000001" customHeight="1" x14ac:dyDescent="0.3">
      <c r="A60" s="73" t="s">
        <v>122</v>
      </c>
      <c r="B60" s="249" t="s">
        <v>230</v>
      </c>
      <c r="C60" s="249"/>
      <c r="D60" s="18"/>
      <c r="E60" s="283"/>
      <c r="F60" s="284"/>
      <c r="G60"/>
      <c r="H60"/>
      <c r="I60"/>
      <c r="J60"/>
      <c r="K60"/>
      <c r="L60"/>
      <c r="M60"/>
    </row>
    <row r="61" spans="1:15" s="34" customFormat="1" ht="20.100000000000001" customHeight="1" x14ac:dyDescent="0.3">
      <c r="A61" s="75" t="s">
        <v>232</v>
      </c>
      <c r="B61" s="243"/>
      <c r="C61" s="244"/>
      <c r="D61" s="244"/>
      <c r="E61" s="244"/>
      <c r="F61" s="245"/>
      <c r="G61"/>
      <c r="H61"/>
      <c r="I61"/>
      <c r="J61"/>
      <c r="K61"/>
      <c r="L61"/>
      <c r="M61"/>
    </row>
    <row r="62" spans="1:15" s="34" customFormat="1" ht="20.100000000000001" customHeight="1" x14ac:dyDescent="0.3">
      <c r="A62" s="73" t="s">
        <v>123</v>
      </c>
      <c r="B62" s="249" t="s">
        <v>230</v>
      </c>
      <c r="C62" s="249"/>
      <c r="D62" s="18"/>
      <c r="E62" s="283"/>
      <c r="F62" s="284"/>
      <c r="G62"/>
      <c r="H62"/>
      <c r="I62"/>
      <c r="J62"/>
      <c r="K62"/>
      <c r="L62"/>
      <c r="M62"/>
    </row>
    <row r="63" spans="1:15" s="34" customFormat="1" ht="20.100000000000001" customHeight="1" x14ac:dyDescent="0.3">
      <c r="A63" s="75" t="s">
        <v>233</v>
      </c>
      <c r="B63" s="243"/>
      <c r="C63" s="244"/>
      <c r="D63" s="244"/>
      <c r="E63" s="244"/>
      <c r="F63" s="245"/>
      <c r="G63"/>
      <c r="H63"/>
      <c r="I63"/>
      <c r="J63"/>
      <c r="K63"/>
      <c r="L63"/>
      <c r="M63"/>
    </row>
    <row r="64" spans="1:15" s="34" customFormat="1" ht="20.100000000000001" customHeight="1" x14ac:dyDescent="0.3">
      <c r="A64" s="73" t="s">
        <v>124</v>
      </c>
      <c r="B64" s="249" t="s">
        <v>230</v>
      </c>
      <c r="C64" s="249"/>
      <c r="D64" s="18"/>
      <c r="E64" s="283"/>
      <c r="F64" s="284"/>
      <c r="G64"/>
      <c r="H64"/>
      <c r="I64"/>
      <c r="J64"/>
      <c r="K64"/>
      <c r="L64"/>
      <c r="M64"/>
    </row>
    <row r="65" spans="1:15" s="34" customFormat="1" ht="20.100000000000001" customHeight="1" x14ac:dyDescent="0.3">
      <c r="A65" s="75" t="s">
        <v>234</v>
      </c>
      <c r="B65" s="243"/>
      <c r="C65" s="244"/>
      <c r="D65" s="244"/>
      <c r="E65" s="244"/>
      <c r="F65" s="245"/>
      <c r="G65"/>
      <c r="H65"/>
      <c r="I65"/>
      <c r="J65"/>
      <c r="K65"/>
      <c r="L65"/>
      <c r="M65"/>
    </row>
    <row r="66" spans="1:15" s="34" customFormat="1" ht="20.100000000000001" customHeight="1" x14ac:dyDescent="0.3">
      <c r="A66" s="73" t="s">
        <v>125</v>
      </c>
      <c r="B66" s="76"/>
      <c r="C66" s="20" t="s">
        <v>128</v>
      </c>
      <c r="D66" s="246"/>
      <c r="E66" s="247"/>
      <c r="F66" s="248"/>
      <c r="G66"/>
      <c r="H66"/>
      <c r="I66"/>
      <c r="J66"/>
      <c r="K66"/>
      <c r="L66"/>
      <c r="M66"/>
    </row>
    <row r="67" spans="1:15" s="34" customFormat="1" ht="20.100000000000001" customHeight="1" x14ac:dyDescent="0.3">
      <c r="A67" s="75" t="s">
        <v>235</v>
      </c>
      <c r="B67" s="243"/>
      <c r="C67" s="244"/>
      <c r="D67" s="244"/>
      <c r="E67" s="244"/>
      <c r="F67" s="245"/>
      <c r="G67"/>
      <c r="H67"/>
      <c r="I67"/>
      <c r="J67"/>
      <c r="K67"/>
      <c r="L67"/>
      <c r="M67"/>
    </row>
    <row r="68" spans="1:15" s="34" customFormat="1" ht="20.100000000000001" customHeight="1" x14ac:dyDescent="0.3">
      <c r="A68" s="72" t="s">
        <v>129</v>
      </c>
      <c r="B68" s="279"/>
      <c r="C68" s="280"/>
      <c r="D68" s="280"/>
      <c r="E68" s="280"/>
      <c r="F68" s="281"/>
      <c r="G68"/>
      <c r="H68"/>
      <c r="I68"/>
      <c r="J68"/>
      <c r="K68"/>
      <c r="L68"/>
      <c r="M68"/>
    </row>
    <row r="69" spans="1:15" ht="20.100000000000001" customHeight="1" x14ac:dyDescent="0.3">
      <c r="A69" s="72" t="s">
        <v>130</v>
      </c>
      <c r="B69" s="279"/>
      <c r="C69" s="280"/>
      <c r="D69" s="280"/>
      <c r="E69" s="280"/>
      <c r="F69" s="281"/>
      <c r="N69"/>
      <c r="O69"/>
    </row>
    <row r="70" spans="1:15" s="21" customFormat="1" ht="20.100000000000001" customHeight="1" x14ac:dyDescent="0.3">
      <c r="A70" s="105" t="s">
        <v>131</v>
      </c>
      <c r="B70" s="279"/>
      <c r="C70" s="280"/>
      <c r="D70" s="280"/>
      <c r="E70" s="280"/>
      <c r="F70" s="281"/>
      <c r="G70"/>
      <c r="H70"/>
      <c r="I70"/>
      <c r="J70"/>
      <c r="K70"/>
      <c r="L70"/>
      <c r="M70"/>
    </row>
    <row r="71" spans="1:15" s="21" customFormat="1" ht="15.75" customHeight="1" thickBot="1" x14ac:dyDescent="0.35">
      <c r="A71"/>
      <c r="B71"/>
      <c r="C71"/>
      <c r="D71"/>
      <c r="E71" s="34"/>
      <c r="G71"/>
      <c r="H71"/>
      <c r="I71"/>
      <c r="J71"/>
      <c r="K71"/>
      <c r="L71"/>
      <c r="M71"/>
    </row>
    <row r="72" spans="1:15" s="16" customFormat="1" ht="20.100000000000001" customHeight="1" thickTop="1" thickBot="1" x14ac:dyDescent="0.35">
      <c r="A72" s="297" t="s">
        <v>209</v>
      </c>
      <c r="B72" s="297"/>
      <c r="C72" s="297"/>
      <c r="D72" s="297"/>
      <c r="E72" s="297"/>
      <c r="F72" s="297"/>
      <c r="G72"/>
      <c r="H72"/>
      <c r="I72"/>
      <c r="J72"/>
      <c r="K72"/>
      <c r="L72"/>
      <c r="M72"/>
    </row>
    <row r="73" spans="1:15" ht="55.5" customHeight="1" thickTop="1" x14ac:dyDescent="0.3">
      <c r="A73"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303"/>
      <c r="C73" s="304"/>
      <c r="D73"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73" s="294"/>
      <c r="F73" s="295"/>
    </row>
    <row r="74" spans="1:15" ht="15.75" customHeight="1" x14ac:dyDescent="0.3">
      <c r="A74" s="231" t="s">
        <v>208</v>
      </c>
      <c r="B74" s="231"/>
      <c r="C74" s="231"/>
      <c r="D74" s="254" t="s">
        <v>456</v>
      </c>
      <c r="E74" s="255"/>
      <c r="F74" s="256"/>
    </row>
    <row r="75" spans="1:15" x14ac:dyDescent="0.3">
      <c r="A75" s="58" t="s">
        <v>182</v>
      </c>
      <c r="B75" s="222"/>
      <c r="C75" s="222"/>
      <c r="D75" s="73" t="s">
        <v>455</v>
      </c>
      <c r="E75" s="73" t="s">
        <v>451</v>
      </c>
      <c r="F75" s="73" t="s">
        <v>452</v>
      </c>
    </row>
    <row r="76" spans="1:15" x14ac:dyDescent="0.3">
      <c r="A76" s="58" t="s">
        <v>201</v>
      </c>
      <c r="B76" s="222"/>
      <c r="C76" s="222"/>
      <c r="D76" s="73" t="s">
        <v>448</v>
      </c>
      <c r="E76" s="156"/>
      <c r="F76" s="157"/>
      <c r="G76" s="113" t="str">
        <f>IF(AND(E76+F76&gt;0,$B$75&lt;&gt;"RIRE, Stuttgart",$B$75&lt;&gt;"Rosen Center",$B$75&lt;&gt;"Lonoke Ag Center"),"* Error - facility not available at selected Research Station","")</f>
        <v/>
      </c>
    </row>
    <row r="77" spans="1:15" x14ac:dyDescent="0.3">
      <c r="A77" s="58" t="s">
        <v>183</v>
      </c>
      <c r="B77" s="260"/>
      <c r="C77" s="260"/>
      <c r="D77" s="73" t="s">
        <v>449</v>
      </c>
      <c r="E77" s="156"/>
      <c r="F77" s="158"/>
      <c r="G77" s="113" t="str">
        <f>IF(AND(E77+F77&gt;0,$B$75&lt;&gt;"RIRE, Stuttgart",$B$75&lt;&gt;"Rosen Center"),"* Error - facility not available at selected Research Station","")</f>
        <v/>
      </c>
    </row>
    <row r="78" spans="1:15" x14ac:dyDescent="0.3">
      <c r="A78" s="58" t="s">
        <v>184</v>
      </c>
      <c r="B78" s="260"/>
      <c r="C78" s="260"/>
      <c r="D78" s="73" t="s">
        <v>450</v>
      </c>
      <c r="E78" s="156"/>
      <c r="F78" s="158"/>
      <c r="G78" s="113" t="str">
        <f>IF(AND(E78+F78&gt;0,$B$75&lt;&gt;"Rosen Center"),"* Error - facility not available at selected Research Station","")</f>
        <v/>
      </c>
    </row>
    <row r="79" spans="1:15" x14ac:dyDescent="0.3">
      <c r="A79" s="58" t="s">
        <v>185</v>
      </c>
      <c r="B79" s="260"/>
      <c r="C79" s="260"/>
      <c r="D79" s="263" t="str">
        <f>IF(OR(G76="* Error - facility not available at selected Research Station",G77="* Error - facility not available at selected Research Station",G78="* Error - facility not available at selected Research Station"),"See error message(s)","")</f>
        <v/>
      </c>
      <c r="E79" s="272"/>
      <c r="F79" s="273"/>
    </row>
    <row r="80" spans="1:15" x14ac:dyDescent="0.3">
      <c r="A80" s="58" t="s">
        <v>186</v>
      </c>
      <c r="B80" s="260"/>
      <c r="C80" s="260"/>
      <c r="D80" s="274"/>
      <c r="E80" s="275"/>
      <c r="F80" s="276"/>
    </row>
    <row r="81" spans="1:14" ht="75.75" customHeight="1" x14ac:dyDescent="0.3">
      <c r="A81" s="282" t="s">
        <v>336</v>
      </c>
      <c r="B81" s="282"/>
      <c r="C81" s="282"/>
      <c r="D81" s="282"/>
      <c r="E81" s="282"/>
      <c r="F81" s="282"/>
    </row>
    <row r="82" spans="1:14" ht="31.5" customHeight="1" x14ac:dyDescent="0.45">
      <c r="A82" s="29" t="s">
        <v>11</v>
      </c>
      <c r="B82" s="29" t="s">
        <v>114</v>
      </c>
      <c r="C82" s="94" t="s">
        <v>141</v>
      </c>
      <c r="D82" s="29" t="s">
        <v>132</v>
      </c>
      <c r="N82" s="59"/>
    </row>
    <row r="83" spans="1:14" x14ac:dyDescent="0.3">
      <c r="A83" s="23" t="s">
        <v>113</v>
      </c>
      <c r="B83" s="7" t="e">
        <f>IF(OR(B75="Rosen Center",B75="Lonoke Ag Center"),0,IF(B75&lt;&gt;"RIRE, Stuttgart",HLOOKUP(B76,Fixed_Rate_Optional,2,FALSE)*B77,100*B77))</f>
        <v>#N/A</v>
      </c>
      <c r="C83" s="13" t="s">
        <v>112</v>
      </c>
      <c r="D83" s="119" t="e">
        <f t="shared" ref="D83" si="3">IF(C83="Yes",B83,0)</f>
        <v>#N/A</v>
      </c>
    </row>
    <row r="84" spans="1:14" x14ac:dyDescent="0.3">
      <c r="A84" s="28" t="s">
        <v>140</v>
      </c>
      <c r="B84" s="24"/>
      <c r="C84" s="24"/>
      <c r="D84" s="25"/>
    </row>
    <row r="85" spans="1:14" x14ac:dyDescent="0.3">
      <c r="A85" s="23" t="s">
        <v>5</v>
      </c>
      <c r="B85" s="65" t="e">
        <f t="shared" ref="B85:B93" si="4">IF(OR($B$75="Rosen Center",$B$75="Lonoke Ag Center"),0,INDEX(Fixed_Rate_Optional,MATCH(A85,Expense_Item,0),MATCH($B$76,Commodity_Item,0))*$B$77)</f>
        <v>#N/A</v>
      </c>
      <c r="C85" s="27"/>
      <c r="D85" s="7">
        <f t="shared" ref="D85:D94" si="5">IF(C85="Yes",B85,0)</f>
        <v>0</v>
      </c>
    </row>
    <row r="86" spans="1:14" x14ac:dyDescent="0.3">
      <c r="A86" s="23" t="s">
        <v>6</v>
      </c>
      <c r="B86" s="65" t="e">
        <f t="shared" si="4"/>
        <v>#N/A</v>
      </c>
      <c r="C86" s="27"/>
      <c r="D86" s="7">
        <f t="shared" si="5"/>
        <v>0</v>
      </c>
    </row>
    <row r="87" spans="1:14" x14ac:dyDescent="0.3">
      <c r="A87" s="23" t="s">
        <v>7</v>
      </c>
      <c r="B87" s="65" t="e">
        <f t="shared" si="4"/>
        <v>#N/A</v>
      </c>
      <c r="C87" s="27"/>
      <c r="D87" s="7">
        <f t="shared" si="5"/>
        <v>0</v>
      </c>
    </row>
    <row r="88" spans="1:14" x14ac:dyDescent="0.3">
      <c r="A88" s="23" t="s">
        <v>8</v>
      </c>
      <c r="B88" s="65" t="e">
        <f t="shared" si="4"/>
        <v>#N/A</v>
      </c>
      <c r="C88" s="27"/>
      <c r="D88" s="7">
        <f t="shared" si="5"/>
        <v>0</v>
      </c>
    </row>
    <row r="89" spans="1:14" x14ac:dyDescent="0.3">
      <c r="A89" s="23" t="s">
        <v>9</v>
      </c>
      <c r="B89" s="65" t="e">
        <f t="shared" si="4"/>
        <v>#N/A</v>
      </c>
      <c r="C89" s="27"/>
      <c r="D89" s="7">
        <f t="shared" si="5"/>
        <v>0</v>
      </c>
    </row>
    <row r="90" spans="1:14" x14ac:dyDescent="0.3">
      <c r="A90" s="23" t="s">
        <v>10</v>
      </c>
      <c r="B90" s="65" t="e">
        <f t="shared" si="4"/>
        <v>#N/A</v>
      </c>
      <c r="C90" s="27"/>
      <c r="D90" s="7">
        <f t="shared" si="5"/>
        <v>0</v>
      </c>
    </row>
    <row r="91" spans="1:14" x14ac:dyDescent="0.3">
      <c r="A91" s="23" t="s">
        <v>13</v>
      </c>
      <c r="B91" s="65" t="e">
        <f t="shared" si="4"/>
        <v>#N/A</v>
      </c>
      <c r="C91" s="27"/>
      <c r="D91" s="7">
        <f t="shared" si="5"/>
        <v>0</v>
      </c>
    </row>
    <row r="92" spans="1:14" x14ac:dyDescent="0.3">
      <c r="A92" s="23" t="s">
        <v>14</v>
      </c>
      <c r="B92" s="65" t="e">
        <f t="shared" si="4"/>
        <v>#N/A</v>
      </c>
      <c r="C92" s="27"/>
      <c r="D92" s="7">
        <f t="shared" si="5"/>
        <v>0</v>
      </c>
    </row>
    <row r="93" spans="1:14" x14ac:dyDescent="0.3">
      <c r="A93" s="23" t="s">
        <v>15</v>
      </c>
      <c r="B93" s="65" t="e">
        <f t="shared" si="4"/>
        <v>#N/A</v>
      </c>
      <c r="C93" s="27"/>
      <c r="D93" s="7">
        <f t="shared" si="5"/>
        <v>0</v>
      </c>
    </row>
    <row r="94" spans="1:14" x14ac:dyDescent="0.3">
      <c r="A94" s="23" t="s">
        <v>16</v>
      </c>
      <c r="B94" s="12" t="e">
        <f>IF(OR(B75="Rosen Center",B75="Lonoke Ag Center"),0,INDEX(Fixed_Rate_Optional,MATCH(A94,Expense_Item,0),MATCH(B76,Commodity_Item,0))*B79*B80)</f>
        <v>#N/A</v>
      </c>
      <c r="C94" s="27"/>
      <c r="D94" s="7">
        <f t="shared" si="5"/>
        <v>0</v>
      </c>
    </row>
    <row r="95" spans="1:14" x14ac:dyDescent="0.3">
      <c r="A95" s="28" t="s">
        <v>133</v>
      </c>
      <c r="B95" s="298"/>
      <c r="C95" s="299"/>
      <c r="D95" s="300"/>
    </row>
    <row r="96" spans="1:14" x14ac:dyDescent="0.3">
      <c r="A96" s="23" t="s">
        <v>134</v>
      </c>
      <c r="B96" s="65" t="e">
        <f t="shared" ref="B96:B101" si="6">IF(OR($B$75="Rosen Center",$B$75="Lonoke Ag Center"),0,INDEX(Fixed_Rate_Optional,MATCH(A96,Expense_Item,0),MATCH($B$76,Commodity_Item,0))*$B$77)</f>
        <v>#N/A</v>
      </c>
      <c r="C96" s="27"/>
      <c r="D96" s="7">
        <f t="shared" ref="D96:D101" si="7">IF(C96="Yes",B96,0)</f>
        <v>0</v>
      </c>
    </row>
    <row r="97" spans="1:13" x14ac:dyDescent="0.3">
      <c r="A97" s="23" t="s">
        <v>135</v>
      </c>
      <c r="B97" s="65" t="e">
        <f t="shared" si="6"/>
        <v>#N/A</v>
      </c>
      <c r="C97" s="27"/>
      <c r="D97" s="7">
        <f t="shared" si="7"/>
        <v>0</v>
      </c>
    </row>
    <row r="98" spans="1:13" x14ac:dyDescent="0.3">
      <c r="A98" s="23" t="s">
        <v>136</v>
      </c>
      <c r="B98" s="65" t="e">
        <f t="shared" si="6"/>
        <v>#N/A</v>
      </c>
      <c r="C98" s="27"/>
      <c r="D98" s="7">
        <f t="shared" si="7"/>
        <v>0</v>
      </c>
    </row>
    <row r="99" spans="1:13" x14ac:dyDescent="0.3">
      <c r="A99" s="23" t="s">
        <v>137</v>
      </c>
      <c r="B99" s="65" t="e">
        <f t="shared" si="6"/>
        <v>#N/A</v>
      </c>
      <c r="C99" s="27"/>
      <c r="D99" s="7">
        <f t="shared" si="7"/>
        <v>0</v>
      </c>
    </row>
    <row r="100" spans="1:13" x14ac:dyDescent="0.3">
      <c r="A100" s="23" t="s">
        <v>138</v>
      </c>
      <c r="B100" s="65" t="e">
        <f t="shared" si="6"/>
        <v>#N/A</v>
      </c>
      <c r="C100" s="27"/>
      <c r="D100" s="7">
        <f t="shared" si="7"/>
        <v>0</v>
      </c>
    </row>
    <row r="101" spans="1:13" x14ac:dyDescent="0.3">
      <c r="A101" s="23" t="s">
        <v>139</v>
      </c>
      <c r="B101" s="65" t="e">
        <f t="shared" si="6"/>
        <v>#N/A</v>
      </c>
      <c r="C101" s="27"/>
      <c r="D101" s="7">
        <f t="shared" si="7"/>
        <v>0</v>
      </c>
    </row>
    <row r="102" spans="1:13" ht="15.75" customHeight="1" x14ac:dyDescent="0.3">
      <c r="A102" s="28" t="str">
        <f>B75&amp;" Total"</f>
        <v xml:space="preserve"> Total</v>
      </c>
      <c r="B102" s="121"/>
      <c r="C102" s="20"/>
      <c r="D102" s="26" t="e">
        <f>SUM(D83,D85:D94,D96:D101)</f>
        <v>#N/A</v>
      </c>
    </row>
    <row r="103" spans="1:13" s="34" customFormat="1" ht="15.75" customHeight="1" x14ac:dyDescent="0.3">
      <c r="A103" s="28" t="s">
        <v>460</v>
      </c>
      <c r="B103" s="29" t="s">
        <v>464</v>
      </c>
      <c r="C103" s="29" t="s">
        <v>466</v>
      </c>
      <c r="D103" s="29" t="s">
        <v>465</v>
      </c>
      <c r="E103" s="29" t="s">
        <v>111</v>
      </c>
    </row>
    <row r="104" spans="1:13" s="34" customFormat="1" x14ac:dyDescent="0.3">
      <c r="A104" s="68" t="s">
        <v>457</v>
      </c>
      <c r="B104" s="132">
        <f>Greenhouse_Rate</f>
        <v>1</v>
      </c>
      <c r="C104" s="137">
        <f>IF(OR(B75="Lonoke Ag Center",B75="RIRE, Stuttgart",B75="Rosen Center"),E76,0)</f>
        <v>0</v>
      </c>
      <c r="D104" s="136">
        <f>IF(OR(B75="Lonoke Ag Center",B75="RIRE, Stuttgart",B75="Rosen Center"),F76,0)</f>
        <v>0</v>
      </c>
      <c r="E104" s="135">
        <f>C104*D104*B104</f>
        <v>0</v>
      </c>
    </row>
    <row r="105" spans="1:13" s="34" customFormat="1" x14ac:dyDescent="0.3">
      <c r="A105" s="68" t="s">
        <v>458</v>
      </c>
      <c r="B105" s="132">
        <f>Growth_Chamber_Rate</f>
        <v>6.8</v>
      </c>
      <c r="C105" s="137">
        <f>IF(OR(B75="RIRE, Stuttgart",B75="Rosen Center"),E77,0)</f>
        <v>0</v>
      </c>
      <c r="D105" s="136">
        <f>IF(OR(B75="RIRE, Stuttgart",B75="Rosen Center"),F77,0)</f>
        <v>0</v>
      </c>
      <c r="E105" s="135">
        <f>C105*D105*B105</f>
        <v>0</v>
      </c>
    </row>
    <row r="106" spans="1:13" s="34" customFormat="1" x14ac:dyDescent="0.3">
      <c r="A106" s="68" t="s">
        <v>459</v>
      </c>
      <c r="B106" s="132">
        <f>Quarantine_Rate</f>
        <v>1.1000000000000001</v>
      </c>
      <c r="C106" s="137">
        <f>IF(B75="Rosen Center",E78,0)</f>
        <v>0</v>
      </c>
      <c r="D106" s="136">
        <f>IF(B75="Rosen Center",F78,0)</f>
        <v>0</v>
      </c>
      <c r="E106" s="135">
        <f>C106*D106*B106</f>
        <v>0</v>
      </c>
    </row>
    <row r="107" spans="1:13" s="34" customFormat="1" x14ac:dyDescent="0.3">
      <c r="A107" s="130" t="s">
        <v>111</v>
      </c>
      <c r="B107" s="144"/>
      <c r="C107" s="137">
        <f>SUM(C104:C106)</f>
        <v>0</v>
      </c>
      <c r="D107" s="136">
        <f>SUM(D104:D106)</f>
        <v>0</v>
      </c>
      <c r="E107" s="26">
        <f t="shared" ref="E107" si="8">SUM(E104:E106)</f>
        <v>0</v>
      </c>
    </row>
    <row r="108" spans="1:13" s="16" customFormat="1" x14ac:dyDescent="0.3">
      <c r="A108" s="254" t="s">
        <v>229</v>
      </c>
      <c r="B108" s="255"/>
      <c r="C108" s="255"/>
      <c r="D108" s="255"/>
      <c r="E108" s="255"/>
      <c r="F108" s="255"/>
      <c r="G108"/>
      <c r="H108"/>
      <c r="I108"/>
      <c r="J108"/>
      <c r="K108"/>
      <c r="L108"/>
      <c r="M108"/>
    </row>
    <row r="109" spans="1:13" s="34" customFormat="1" x14ac:dyDescent="0.3">
      <c r="A109" s="68" t="s">
        <v>115</v>
      </c>
      <c r="B109" s="278"/>
      <c r="C109" s="278"/>
      <c r="D109" s="278"/>
      <c r="E109" s="278"/>
      <c r="F109" s="278"/>
      <c r="G109"/>
      <c r="H109"/>
      <c r="I109"/>
      <c r="J109"/>
      <c r="K109"/>
      <c r="L109"/>
      <c r="M109"/>
    </row>
    <row r="110" spans="1:13" s="34" customFormat="1" ht="18.75" customHeight="1" x14ac:dyDescent="0.3">
      <c r="A110" s="68" t="s">
        <v>116</v>
      </c>
      <c r="B110" s="289"/>
      <c r="C110" s="289"/>
      <c r="D110" s="289"/>
      <c r="E110" s="289"/>
      <c r="F110" s="289"/>
      <c r="G110"/>
      <c r="H110"/>
      <c r="I110"/>
      <c r="J110"/>
      <c r="K110"/>
      <c r="L110"/>
      <c r="M110"/>
    </row>
    <row r="111" spans="1:13" s="34" customFormat="1" x14ac:dyDescent="0.3">
      <c r="A111" s="68" t="s">
        <v>117</v>
      </c>
      <c r="B111" s="258"/>
      <c r="C111" s="258"/>
      <c r="D111" s="258"/>
      <c r="E111" s="258"/>
      <c r="F111" s="258"/>
      <c r="G111"/>
      <c r="H111"/>
      <c r="I111"/>
      <c r="J111"/>
      <c r="K111"/>
      <c r="L111"/>
      <c r="M111"/>
    </row>
    <row r="112" spans="1:13" s="34" customFormat="1" x14ac:dyDescent="0.3">
      <c r="A112" s="68" t="s">
        <v>228</v>
      </c>
      <c r="B112" s="258"/>
      <c r="C112" s="258"/>
      <c r="D112" s="258"/>
      <c r="E112" s="258"/>
      <c r="F112" s="258"/>
      <c r="G112"/>
      <c r="H112"/>
      <c r="I112"/>
      <c r="J112"/>
      <c r="K112"/>
      <c r="L112"/>
      <c r="M112"/>
    </row>
    <row r="113" spans="1:14" s="34" customFormat="1" x14ac:dyDescent="0.3">
      <c r="A113" s="68" t="s">
        <v>118</v>
      </c>
      <c r="B113" s="257"/>
      <c r="C113" s="258"/>
      <c r="D113" s="258"/>
      <c r="E113" s="258"/>
      <c r="F113" s="258"/>
      <c r="G113"/>
      <c r="H113"/>
      <c r="I113"/>
      <c r="J113"/>
      <c r="K113"/>
      <c r="L113"/>
      <c r="M113"/>
    </row>
    <row r="114" spans="1:14" s="34" customFormat="1" x14ac:dyDescent="0.3">
      <c r="A114" s="68" t="s">
        <v>126</v>
      </c>
      <c r="B114" s="277"/>
      <c r="C114" s="277"/>
      <c r="D114" s="277"/>
      <c r="E114" s="277"/>
      <c r="F114" s="277"/>
      <c r="G114"/>
      <c r="H114"/>
      <c r="I114"/>
      <c r="J114"/>
      <c r="K114"/>
      <c r="L114"/>
      <c r="M114"/>
    </row>
    <row r="115" spans="1:14" s="34" customFormat="1" x14ac:dyDescent="0.3">
      <c r="A115" s="68" t="s">
        <v>127</v>
      </c>
      <c r="B115" s="277"/>
      <c r="C115" s="277"/>
      <c r="D115" s="277"/>
      <c r="E115" s="277"/>
      <c r="F115" s="277"/>
      <c r="G115"/>
      <c r="H115"/>
      <c r="I115"/>
      <c r="J115"/>
      <c r="K115"/>
      <c r="L115"/>
      <c r="M115"/>
    </row>
    <row r="116" spans="1:14" s="34" customFormat="1" x14ac:dyDescent="0.3">
      <c r="A116" s="68" t="s">
        <v>119</v>
      </c>
      <c r="B116" s="277"/>
      <c r="C116" s="277"/>
      <c r="D116" s="277"/>
      <c r="E116" s="277"/>
      <c r="F116" s="277"/>
      <c r="G116"/>
      <c r="H116"/>
      <c r="I116"/>
      <c r="J116"/>
      <c r="K116"/>
      <c r="L116"/>
      <c r="M116"/>
    </row>
    <row r="117" spans="1:14" s="34" customFormat="1" x14ac:dyDescent="0.3">
      <c r="A117" s="290" t="s">
        <v>120</v>
      </c>
      <c r="B117" s="286"/>
      <c r="C117" s="287"/>
      <c r="D117" s="287"/>
      <c r="E117" s="287"/>
      <c r="F117" s="288"/>
      <c r="G117"/>
      <c r="H117"/>
      <c r="I117"/>
      <c r="J117"/>
      <c r="K117"/>
      <c r="L117"/>
      <c r="M117"/>
    </row>
    <row r="118" spans="1:14" s="34" customFormat="1" ht="15.75" customHeight="1" x14ac:dyDescent="0.3">
      <c r="A118" s="291"/>
      <c r="B118" s="240"/>
      <c r="C118" s="241"/>
      <c r="D118" s="241"/>
      <c r="E118" s="241"/>
      <c r="F118" s="242"/>
      <c r="G118"/>
      <c r="H118"/>
      <c r="I118"/>
      <c r="J118"/>
      <c r="K118"/>
      <c r="L118"/>
      <c r="M118"/>
      <c r="N118" s="60"/>
    </row>
    <row r="119" spans="1:14" s="34" customFormat="1" x14ac:dyDescent="0.3">
      <c r="A119" s="291"/>
      <c r="B119" s="240"/>
      <c r="C119" s="241"/>
      <c r="D119" s="241"/>
      <c r="E119" s="241"/>
      <c r="F119" s="242"/>
      <c r="G119"/>
      <c r="H119"/>
      <c r="I119"/>
      <c r="J119"/>
      <c r="K119"/>
      <c r="L119"/>
      <c r="M119"/>
    </row>
    <row r="120" spans="1:14" s="34" customFormat="1" x14ac:dyDescent="0.3">
      <c r="A120" s="291"/>
      <c r="B120" s="240"/>
      <c r="C120" s="241"/>
      <c r="D120" s="241"/>
      <c r="E120" s="241"/>
      <c r="F120" s="242"/>
      <c r="G120"/>
      <c r="H120"/>
      <c r="I120"/>
      <c r="J120"/>
      <c r="K120"/>
      <c r="L120"/>
      <c r="M120"/>
    </row>
    <row r="121" spans="1:14" s="34" customFormat="1" x14ac:dyDescent="0.3">
      <c r="A121" s="291"/>
      <c r="B121" s="240"/>
      <c r="C121" s="241"/>
      <c r="D121" s="241"/>
      <c r="E121" s="241"/>
      <c r="F121" s="242"/>
      <c r="G121"/>
      <c r="H121"/>
      <c r="I121"/>
      <c r="J121"/>
      <c r="K121"/>
      <c r="L121"/>
      <c r="M121"/>
    </row>
    <row r="122" spans="1:14" s="34" customFormat="1" x14ac:dyDescent="0.3">
      <c r="A122" s="291"/>
      <c r="B122" s="240"/>
      <c r="C122" s="241"/>
      <c r="D122" s="241"/>
      <c r="E122" s="241"/>
      <c r="F122" s="242"/>
      <c r="G122"/>
      <c r="H122"/>
      <c r="I122"/>
      <c r="J122"/>
      <c r="K122"/>
      <c r="L122"/>
      <c r="M122"/>
    </row>
    <row r="123" spans="1:14" s="34" customFormat="1" x14ac:dyDescent="0.3">
      <c r="A123" s="291"/>
      <c r="B123" s="240"/>
      <c r="C123" s="241"/>
      <c r="D123" s="241"/>
      <c r="E123" s="241"/>
      <c r="F123" s="242"/>
      <c r="G123"/>
      <c r="H123"/>
      <c r="I123"/>
      <c r="J123"/>
      <c r="K123"/>
      <c r="L123"/>
      <c r="M123"/>
    </row>
    <row r="124" spans="1:14" s="34" customFormat="1" x14ac:dyDescent="0.3">
      <c r="A124" s="291"/>
      <c r="B124" s="240"/>
      <c r="C124" s="241"/>
      <c r="D124" s="241"/>
      <c r="E124" s="241"/>
      <c r="F124" s="242"/>
      <c r="G124"/>
      <c r="H124"/>
      <c r="I124"/>
      <c r="J124"/>
      <c r="K124"/>
      <c r="L124"/>
      <c r="M124"/>
    </row>
    <row r="125" spans="1:14" s="34" customFormat="1" x14ac:dyDescent="0.3">
      <c r="A125" s="292"/>
      <c r="B125" s="285"/>
      <c r="C125" s="285"/>
      <c r="D125" s="285"/>
      <c r="E125" s="285"/>
      <c r="F125" s="285"/>
      <c r="G125"/>
      <c r="H125"/>
      <c r="I125"/>
      <c r="J125"/>
      <c r="K125"/>
      <c r="L125"/>
      <c r="M125"/>
    </row>
    <row r="126" spans="1:14" s="34" customFormat="1" x14ac:dyDescent="0.3">
      <c r="A126" s="73" t="s">
        <v>121</v>
      </c>
      <c r="B126" s="249" t="s">
        <v>230</v>
      </c>
      <c r="C126" s="249"/>
      <c r="D126" s="18"/>
      <c r="E126" s="283"/>
      <c r="F126" s="284"/>
      <c r="G126"/>
      <c r="H126"/>
      <c r="I126"/>
      <c r="J126"/>
      <c r="K126"/>
      <c r="L126"/>
      <c r="M126"/>
    </row>
    <row r="127" spans="1:14" s="34" customFormat="1" x14ac:dyDescent="0.3">
      <c r="A127" s="68" t="s">
        <v>231</v>
      </c>
      <c r="B127" s="243"/>
      <c r="C127" s="244"/>
      <c r="D127" s="244"/>
      <c r="E127" s="244"/>
      <c r="F127" s="245"/>
      <c r="G127"/>
      <c r="H127"/>
      <c r="I127"/>
      <c r="J127"/>
      <c r="K127"/>
      <c r="L127"/>
      <c r="M127"/>
    </row>
    <row r="128" spans="1:14" s="34" customFormat="1" x14ac:dyDescent="0.3">
      <c r="A128" s="73" t="s">
        <v>122</v>
      </c>
      <c r="B128" s="249" t="s">
        <v>230</v>
      </c>
      <c r="C128" s="249"/>
      <c r="D128" s="18"/>
      <c r="E128" s="283"/>
      <c r="F128" s="284"/>
      <c r="G128"/>
      <c r="H128"/>
      <c r="I128"/>
      <c r="J128"/>
      <c r="K128"/>
      <c r="L128"/>
      <c r="M128"/>
    </row>
    <row r="129" spans="1:13" s="34" customFormat="1" x14ac:dyDescent="0.3">
      <c r="A129" s="75" t="s">
        <v>232</v>
      </c>
      <c r="B129" s="243"/>
      <c r="C129" s="244"/>
      <c r="D129" s="244"/>
      <c r="E129" s="244"/>
      <c r="F129" s="245"/>
      <c r="G129"/>
      <c r="H129"/>
      <c r="I129"/>
      <c r="J129"/>
      <c r="K129"/>
      <c r="L129"/>
      <c r="M129"/>
    </row>
    <row r="130" spans="1:13" s="34" customFormat="1" x14ac:dyDescent="0.3">
      <c r="A130" s="73" t="s">
        <v>123</v>
      </c>
      <c r="B130" s="249" t="s">
        <v>230</v>
      </c>
      <c r="C130" s="249"/>
      <c r="D130" s="18"/>
      <c r="E130" s="283"/>
      <c r="F130" s="284"/>
      <c r="G130"/>
      <c r="H130"/>
      <c r="I130"/>
      <c r="J130"/>
      <c r="K130"/>
      <c r="L130"/>
      <c r="M130"/>
    </row>
    <row r="131" spans="1:13" s="34" customFormat="1" x14ac:dyDescent="0.3">
      <c r="A131" s="75" t="s">
        <v>233</v>
      </c>
      <c r="B131" s="243"/>
      <c r="C131" s="244"/>
      <c r="D131" s="244"/>
      <c r="E131" s="244"/>
      <c r="F131" s="245"/>
      <c r="G131"/>
      <c r="H131"/>
      <c r="I131"/>
      <c r="J131"/>
      <c r="K131"/>
      <c r="L131"/>
      <c r="M131"/>
    </row>
    <row r="132" spans="1:13" s="34" customFormat="1" x14ac:dyDescent="0.3">
      <c r="A132" s="73" t="s">
        <v>124</v>
      </c>
      <c r="B132" s="249" t="s">
        <v>230</v>
      </c>
      <c r="C132" s="249"/>
      <c r="D132" s="18"/>
      <c r="E132" s="283"/>
      <c r="F132" s="284"/>
      <c r="G132"/>
      <c r="H132"/>
      <c r="I132"/>
      <c r="J132"/>
      <c r="K132"/>
      <c r="L132"/>
      <c r="M132"/>
    </row>
    <row r="133" spans="1:13" s="34" customFormat="1" x14ac:dyDescent="0.3">
      <c r="A133" s="75" t="s">
        <v>234</v>
      </c>
      <c r="B133" s="243"/>
      <c r="C133" s="244"/>
      <c r="D133" s="244"/>
      <c r="E133" s="244"/>
      <c r="F133" s="245"/>
      <c r="G133"/>
      <c r="H133"/>
      <c r="I133"/>
      <c r="J133"/>
      <c r="K133"/>
      <c r="L133"/>
      <c r="M133"/>
    </row>
    <row r="134" spans="1:13" s="34" customFormat="1" x14ac:dyDescent="0.3">
      <c r="A134" s="73" t="s">
        <v>125</v>
      </c>
      <c r="B134" s="76" t="s">
        <v>119</v>
      </c>
      <c r="C134" s="20" t="s">
        <v>128</v>
      </c>
      <c r="D134" s="246"/>
      <c r="E134" s="247"/>
      <c r="F134" s="248"/>
      <c r="G134"/>
      <c r="H134"/>
      <c r="I134"/>
      <c r="J134"/>
      <c r="K134"/>
      <c r="L134"/>
      <c r="M134"/>
    </row>
    <row r="135" spans="1:13" s="34" customFormat="1" x14ac:dyDescent="0.3">
      <c r="A135" s="75" t="s">
        <v>235</v>
      </c>
      <c r="B135" s="243"/>
      <c r="C135" s="244"/>
      <c r="D135" s="244"/>
      <c r="E135" s="244"/>
      <c r="F135" s="245"/>
      <c r="G135"/>
      <c r="H135"/>
      <c r="I135"/>
      <c r="J135"/>
      <c r="K135"/>
      <c r="L135"/>
      <c r="M135"/>
    </row>
    <row r="136" spans="1:13" s="34" customFormat="1" x14ac:dyDescent="0.3">
      <c r="A136" s="72" t="s">
        <v>129</v>
      </c>
      <c r="B136" s="279"/>
      <c r="C136" s="280"/>
      <c r="D136" s="280"/>
      <c r="E136" s="280"/>
      <c r="F136" s="281"/>
      <c r="G136"/>
      <c r="H136"/>
      <c r="I136"/>
      <c r="J136"/>
      <c r="K136"/>
      <c r="L136"/>
      <c r="M136"/>
    </row>
    <row r="137" spans="1:13" s="34" customFormat="1" x14ac:dyDescent="0.3">
      <c r="A137" s="72" t="s">
        <v>130</v>
      </c>
      <c r="B137" s="279"/>
      <c r="C137" s="280"/>
      <c r="D137" s="280"/>
      <c r="E137" s="280"/>
      <c r="F137" s="281"/>
      <c r="G137"/>
      <c r="H137"/>
      <c r="I137"/>
      <c r="J137"/>
      <c r="K137"/>
      <c r="L137"/>
      <c r="M137"/>
    </row>
    <row r="138" spans="1:13" s="34" customFormat="1" x14ac:dyDescent="0.3">
      <c r="A138" s="105" t="s">
        <v>131</v>
      </c>
      <c r="B138" s="279"/>
      <c r="C138" s="280"/>
      <c r="D138" s="280"/>
      <c r="E138" s="280"/>
      <c r="F138" s="281"/>
      <c r="G138"/>
      <c r="H138"/>
      <c r="I138"/>
      <c r="J138"/>
      <c r="K138"/>
      <c r="L138"/>
      <c r="M138"/>
    </row>
    <row r="139" spans="1:13" s="34" customFormat="1" ht="15.75" customHeight="1" thickBot="1" x14ac:dyDescent="0.35"/>
    <row r="140" spans="1:13" s="34" customFormat="1" ht="20.100000000000001" customHeight="1" thickTop="1" thickBot="1" x14ac:dyDescent="0.35">
      <c r="A140" s="301" t="s">
        <v>211</v>
      </c>
      <c r="B140" s="301"/>
      <c r="C140" s="301"/>
      <c r="D140" s="301"/>
      <c r="E140" s="301"/>
      <c r="F140" s="301"/>
      <c r="G140"/>
      <c r="H140"/>
      <c r="I140"/>
      <c r="J140"/>
      <c r="K140"/>
      <c r="L140"/>
      <c r="M140"/>
    </row>
    <row r="141" spans="1:13" s="16" customFormat="1" ht="57.75" customHeight="1" thickTop="1" x14ac:dyDescent="0.3">
      <c r="A141"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303"/>
      <c r="C141" s="304"/>
      <c r="D141"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141" s="294"/>
      <c r="F141" s="295"/>
      <c r="G141"/>
      <c r="H141"/>
      <c r="I141"/>
      <c r="J141"/>
      <c r="K141"/>
      <c r="L141"/>
      <c r="M141"/>
    </row>
    <row r="142" spans="1:13" s="34" customFormat="1" ht="15.75" customHeight="1" x14ac:dyDescent="0.3">
      <c r="A142" s="231" t="s">
        <v>208</v>
      </c>
      <c r="B142" s="231"/>
      <c r="C142" s="231"/>
      <c r="D142" s="254" t="s">
        <v>456</v>
      </c>
      <c r="E142" s="255"/>
      <c r="F142" s="256"/>
      <c r="G142"/>
      <c r="H142"/>
      <c r="I142"/>
      <c r="J142"/>
      <c r="K142"/>
      <c r="L142"/>
      <c r="M142"/>
    </row>
    <row r="143" spans="1:13" s="34" customFormat="1" ht="18.75" customHeight="1" x14ac:dyDescent="0.3">
      <c r="A143" s="58" t="s">
        <v>182</v>
      </c>
      <c r="B143" s="222"/>
      <c r="C143" s="222"/>
      <c r="D143" s="73" t="s">
        <v>455</v>
      </c>
      <c r="E143" s="73" t="s">
        <v>451</v>
      </c>
      <c r="F143" s="73" t="s">
        <v>452</v>
      </c>
      <c r="G143"/>
      <c r="H143"/>
      <c r="I143"/>
      <c r="J143"/>
      <c r="K143"/>
      <c r="L143"/>
      <c r="M143"/>
    </row>
    <row r="144" spans="1:13" s="34" customFormat="1" x14ac:dyDescent="0.3">
      <c r="A144" s="58" t="s">
        <v>201</v>
      </c>
      <c r="B144" s="222"/>
      <c r="C144" s="222"/>
      <c r="D144" s="73" t="s">
        <v>448</v>
      </c>
      <c r="E144" s="156"/>
      <c r="F144" s="157"/>
      <c r="G144" s="113" t="str">
        <f>IF(AND(E144+F144&gt;0,$B$143&lt;&gt;"RIRE, Stuttgart",$B$143&lt;&gt;"Rosen Center",$B$143&lt;&gt;"Lonoke Ag Center"),"* Error - facility not available at selected Research Station","")</f>
        <v/>
      </c>
      <c r="H144"/>
      <c r="I144"/>
      <c r="J144"/>
      <c r="K144"/>
      <c r="L144"/>
      <c r="M144"/>
    </row>
    <row r="145" spans="1:14" s="34" customFormat="1" x14ac:dyDescent="0.3">
      <c r="A145" s="58" t="s">
        <v>183</v>
      </c>
      <c r="B145" s="260"/>
      <c r="C145" s="260"/>
      <c r="D145" s="73" t="s">
        <v>449</v>
      </c>
      <c r="E145" s="156"/>
      <c r="F145" s="158"/>
      <c r="G145" s="113" t="str">
        <f>IF(AND(E145+F145&gt;0,$B$143&lt;&gt;"RIRE, Stuttgart",$B$143&lt;&gt;"Rosen Center"),"* Error - facility not available at selected Research Station","")</f>
        <v/>
      </c>
      <c r="H145"/>
      <c r="I145"/>
      <c r="J145"/>
      <c r="K145"/>
      <c r="L145"/>
      <c r="M145"/>
    </row>
    <row r="146" spans="1:14" s="34" customFormat="1" x14ac:dyDescent="0.3">
      <c r="A146" s="58" t="s">
        <v>184</v>
      </c>
      <c r="B146" s="260"/>
      <c r="C146" s="260"/>
      <c r="D146" s="73" t="s">
        <v>450</v>
      </c>
      <c r="E146" s="156"/>
      <c r="F146" s="158"/>
      <c r="G146" s="113" t="str">
        <f>IF(AND(E146+F146&gt;0,$B$143&lt;&gt;"Rosen Center"),"* Error - facility not available at selected Research Station","")</f>
        <v/>
      </c>
      <c r="H146"/>
      <c r="I146"/>
      <c r="J146"/>
      <c r="K146"/>
      <c r="L146"/>
      <c r="M146"/>
    </row>
    <row r="147" spans="1:14" s="34" customFormat="1" x14ac:dyDescent="0.3">
      <c r="A147" s="58" t="s">
        <v>185</v>
      </c>
      <c r="B147" s="260"/>
      <c r="C147" s="260"/>
      <c r="D147" s="263" t="str">
        <f>IF(OR(G144="* Error - facility not available at selected Research Station",G145="* Error - facility not available at selected Research Station",G146="* Error - facility not available at selected Research Station"),"See error message(s)","")</f>
        <v/>
      </c>
      <c r="E147" s="272"/>
      <c r="F147" s="273"/>
      <c r="G147"/>
      <c r="H147"/>
      <c r="I147"/>
      <c r="J147"/>
      <c r="K147"/>
      <c r="L147"/>
      <c r="M147"/>
    </row>
    <row r="148" spans="1:14" s="34" customFormat="1" x14ac:dyDescent="0.3">
      <c r="A148" s="58" t="s">
        <v>186</v>
      </c>
      <c r="B148" s="260"/>
      <c r="C148" s="260"/>
      <c r="D148" s="274"/>
      <c r="E148" s="275"/>
      <c r="F148" s="276"/>
      <c r="G148"/>
      <c r="H148"/>
      <c r="I148"/>
      <c r="J148"/>
      <c r="K148"/>
      <c r="L148"/>
      <c r="M148"/>
    </row>
    <row r="149" spans="1:14" s="34" customFormat="1" ht="75.75" customHeight="1" x14ac:dyDescent="0.3">
      <c r="A149" s="282" t="s">
        <v>336</v>
      </c>
      <c r="B149" s="282"/>
      <c r="C149" s="282"/>
      <c r="D149" s="282"/>
      <c r="E149" s="282"/>
      <c r="F149" s="282"/>
      <c r="G149"/>
      <c r="H149"/>
      <c r="I149"/>
      <c r="J149"/>
      <c r="K149"/>
      <c r="L149"/>
      <c r="M149"/>
    </row>
    <row r="150" spans="1:14" s="34" customFormat="1" ht="31.2" x14ac:dyDescent="0.3">
      <c r="A150" s="29" t="s">
        <v>11</v>
      </c>
      <c r="B150" s="29" t="s">
        <v>114</v>
      </c>
      <c r="C150" s="94" t="s">
        <v>141</v>
      </c>
      <c r="D150" s="29" t="s">
        <v>132</v>
      </c>
      <c r="E150"/>
      <c r="G150"/>
      <c r="H150"/>
      <c r="I150"/>
      <c r="J150"/>
      <c r="K150"/>
      <c r="L150"/>
      <c r="M150"/>
    </row>
    <row r="151" spans="1:14" s="34" customFormat="1" ht="23.4" x14ac:dyDescent="0.3">
      <c r="A151" s="23" t="s">
        <v>113</v>
      </c>
      <c r="B151" s="7" t="e">
        <f>IF(OR(B143="Rosen Center",B143="Lonoke Ag Center"),0,IF(B143&lt;&gt;"RIRE, Stuttgart",HLOOKUP(B144,Fixed_Rate_Optional,2,FALSE)*B145,100*B145))</f>
        <v>#N/A</v>
      </c>
      <c r="C151" s="13" t="s">
        <v>112</v>
      </c>
      <c r="D151" s="7" t="e">
        <f t="shared" ref="D151" si="9">IF(C151="Yes",B151,0)</f>
        <v>#N/A</v>
      </c>
      <c r="E151"/>
      <c r="G151"/>
      <c r="H151"/>
      <c r="I151"/>
      <c r="J151"/>
      <c r="K151"/>
      <c r="L151"/>
      <c r="M151"/>
      <c r="N151" s="60"/>
    </row>
    <row r="152" spans="1:14" s="34" customFormat="1" ht="15.75" customHeight="1" x14ac:dyDescent="0.3">
      <c r="A152" s="28" t="s">
        <v>140</v>
      </c>
      <c r="B152" s="24"/>
      <c r="C152" s="24"/>
      <c r="D152" s="25"/>
      <c r="E152"/>
      <c r="G152"/>
      <c r="H152"/>
      <c r="I152"/>
      <c r="J152"/>
      <c r="K152"/>
      <c r="L152"/>
      <c r="M152"/>
      <c r="N152" s="60"/>
    </row>
    <row r="153" spans="1:14" s="34" customFormat="1" x14ac:dyDescent="0.3">
      <c r="A153" s="23" t="s">
        <v>5</v>
      </c>
      <c r="B153" s="12" t="e">
        <f t="shared" ref="B153:B161" si="10">IF(OR($B$143="Rosen Center",$B$143="Lonoke Ag Center"),0,INDEX(Fixed_Rate_Optional,MATCH(A153,Expense_Item,0),MATCH($B$144,Commodity_Item,0))*$B$145)</f>
        <v>#N/A</v>
      </c>
      <c r="C153" s="27"/>
      <c r="D153" s="7">
        <f t="shared" ref="D153:D162" si="11">IF(C153="Yes",B153,0)</f>
        <v>0</v>
      </c>
      <c r="E153"/>
      <c r="G153"/>
      <c r="H153"/>
      <c r="I153"/>
      <c r="J153"/>
      <c r="K153"/>
      <c r="L153"/>
      <c r="M153"/>
    </row>
    <row r="154" spans="1:14" s="34" customFormat="1" x14ac:dyDescent="0.3">
      <c r="A154" s="23" t="s">
        <v>6</v>
      </c>
      <c r="B154" s="12" t="e">
        <f t="shared" si="10"/>
        <v>#N/A</v>
      </c>
      <c r="C154" s="27"/>
      <c r="D154" s="7">
        <f t="shared" si="11"/>
        <v>0</v>
      </c>
      <c r="E154"/>
      <c r="G154"/>
      <c r="H154"/>
      <c r="I154"/>
      <c r="J154"/>
      <c r="K154"/>
      <c r="L154"/>
      <c r="M154"/>
    </row>
    <row r="155" spans="1:14" s="34" customFormat="1" x14ac:dyDescent="0.3">
      <c r="A155" s="23" t="s">
        <v>7</v>
      </c>
      <c r="B155" s="12" t="e">
        <f t="shared" si="10"/>
        <v>#N/A</v>
      </c>
      <c r="C155" s="27"/>
      <c r="D155" s="7">
        <f t="shared" si="11"/>
        <v>0</v>
      </c>
      <c r="E155"/>
      <c r="G155"/>
      <c r="H155"/>
      <c r="I155"/>
      <c r="J155"/>
      <c r="K155"/>
      <c r="L155"/>
      <c r="M155"/>
    </row>
    <row r="156" spans="1:14" s="34" customFormat="1" x14ac:dyDescent="0.3">
      <c r="A156" s="23" t="s">
        <v>8</v>
      </c>
      <c r="B156" s="12" t="e">
        <f t="shared" si="10"/>
        <v>#N/A</v>
      </c>
      <c r="C156" s="27"/>
      <c r="D156" s="7">
        <f t="shared" si="11"/>
        <v>0</v>
      </c>
      <c r="E156"/>
      <c r="G156"/>
      <c r="H156"/>
      <c r="I156"/>
      <c r="J156"/>
      <c r="K156"/>
      <c r="L156"/>
      <c r="M156"/>
    </row>
    <row r="157" spans="1:14" s="34" customFormat="1" x14ac:dyDescent="0.3">
      <c r="A157" s="23" t="s">
        <v>9</v>
      </c>
      <c r="B157" s="12" t="e">
        <f t="shared" si="10"/>
        <v>#N/A</v>
      </c>
      <c r="C157" s="27"/>
      <c r="D157" s="7">
        <f t="shared" si="11"/>
        <v>0</v>
      </c>
      <c r="E157"/>
      <c r="G157"/>
      <c r="H157"/>
      <c r="I157"/>
      <c r="J157"/>
      <c r="K157"/>
      <c r="L157"/>
      <c r="M157"/>
    </row>
    <row r="158" spans="1:14" s="34" customFormat="1" x14ac:dyDescent="0.3">
      <c r="A158" s="23" t="s">
        <v>10</v>
      </c>
      <c r="B158" s="12" t="e">
        <f t="shared" si="10"/>
        <v>#N/A</v>
      </c>
      <c r="C158" s="27"/>
      <c r="D158" s="7">
        <f t="shared" si="11"/>
        <v>0</v>
      </c>
      <c r="E158"/>
      <c r="G158"/>
      <c r="H158"/>
      <c r="I158"/>
      <c r="J158"/>
      <c r="K158"/>
      <c r="L158"/>
      <c r="M158"/>
    </row>
    <row r="159" spans="1:14" s="34" customFormat="1" x14ac:dyDescent="0.3">
      <c r="A159" s="23" t="s">
        <v>13</v>
      </c>
      <c r="B159" s="12" t="e">
        <f t="shared" si="10"/>
        <v>#N/A</v>
      </c>
      <c r="C159" s="27"/>
      <c r="D159" s="7">
        <f t="shared" si="11"/>
        <v>0</v>
      </c>
      <c r="E159"/>
      <c r="G159"/>
      <c r="H159"/>
      <c r="I159"/>
      <c r="J159"/>
      <c r="K159"/>
      <c r="L159"/>
      <c r="M159"/>
    </row>
    <row r="160" spans="1:14" s="34" customFormat="1" x14ac:dyDescent="0.3">
      <c r="A160" s="23" t="s">
        <v>14</v>
      </c>
      <c r="B160" s="12" t="e">
        <f t="shared" si="10"/>
        <v>#N/A</v>
      </c>
      <c r="C160" s="27"/>
      <c r="D160" s="7">
        <f t="shared" si="11"/>
        <v>0</v>
      </c>
      <c r="E160"/>
      <c r="G160"/>
      <c r="H160"/>
      <c r="I160"/>
      <c r="J160"/>
      <c r="K160"/>
      <c r="L160"/>
      <c r="M160"/>
    </row>
    <row r="161" spans="1:13" s="34" customFormat="1" x14ac:dyDescent="0.3">
      <c r="A161" s="23" t="s">
        <v>15</v>
      </c>
      <c r="B161" s="12" t="e">
        <f t="shared" si="10"/>
        <v>#N/A</v>
      </c>
      <c r="C161" s="27"/>
      <c r="D161" s="7">
        <f t="shared" si="11"/>
        <v>0</v>
      </c>
      <c r="E161"/>
      <c r="G161"/>
      <c r="H161"/>
      <c r="I161"/>
      <c r="J161"/>
      <c r="K161"/>
      <c r="L161"/>
      <c r="M161"/>
    </row>
    <row r="162" spans="1:13" s="34" customFormat="1" x14ac:dyDescent="0.3">
      <c r="A162" s="23" t="s">
        <v>16</v>
      </c>
      <c r="B162" s="12" t="e">
        <f>IF(OR(B143="Rosen Center",B143="Lonoke Ag Center"),0,INDEX(Fixed_Rate_Optional,MATCH(A162,Expense_Item,0),MATCH(B144,Commodity_Item,0))*B147*B148)</f>
        <v>#N/A</v>
      </c>
      <c r="C162" s="27"/>
      <c r="D162" s="7">
        <f t="shared" si="11"/>
        <v>0</v>
      </c>
      <c r="E162"/>
      <c r="G162"/>
      <c r="H162"/>
      <c r="I162"/>
      <c r="J162"/>
      <c r="K162"/>
      <c r="L162"/>
      <c r="M162"/>
    </row>
    <row r="163" spans="1:13" s="34" customFormat="1" x14ac:dyDescent="0.3">
      <c r="A163" s="28" t="s">
        <v>133</v>
      </c>
      <c r="B163" s="298"/>
      <c r="C163" s="299"/>
      <c r="D163" s="300"/>
      <c r="E163"/>
      <c r="G163"/>
      <c r="H163"/>
      <c r="I163"/>
      <c r="J163"/>
      <c r="K163"/>
      <c r="L163"/>
      <c r="M163"/>
    </row>
    <row r="164" spans="1:13" s="34" customFormat="1" x14ac:dyDescent="0.3">
      <c r="A164" s="23" t="s">
        <v>134</v>
      </c>
      <c r="B164" s="12" t="e">
        <f t="shared" ref="B164:B169" si="12">IF(OR($B$143="Rosen Center",$B$143="Lonoke Ag Center"),0,INDEX(Fixed_Rate_Optional,MATCH(A164,Expense_Item,0),MATCH($B$144,Commodity_Item,0))*$B$145)</f>
        <v>#N/A</v>
      </c>
      <c r="C164" s="27"/>
      <c r="D164" s="7">
        <f t="shared" ref="D164:D169" si="13">IF(C164="Yes",B164,0)</f>
        <v>0</v>
      </c>
      <c r="E164"/>
      <c r="G164"/>
      <c r="H164"/>
      <c r="I164"/>
      <c r="J164"/>
      <c r="K164"/>
      <c r="L164"/>
      <c r="M164"/>
    </row>
    <row r="165" spans="1:13" s="34" customFormat="1" x14ac:dyDescent="0.3">
      <c r="A165" s="23" t="s">
        <v>135</v>
      </c>
      <c r="B165" s="12" t="e">
        <f t="shared" si="12"/>
        <v>#N/A</v>
      </c>
      <c r="C165" s="27"/>
      <c r="D165" s="7">
        <f t="shared" si="13"/>
        <v>0</v>
      </c>
      <c r="E165"/>
      <c r="G165"/>
      <c r="H165"/>
      <c r="I165"/>
      <c r="J165"/>
      <c r="K165"/>
      <c r="L165"/>
      <c r="M165"/>
    </row>
    <row r="166" spans="1:13" s="34" customFormat="1" x14ac:dyDescent="0.3">
      <c r="A166" s="23" t="s">
        <v>136</v>
      </c>
      <c r="B166" s="12" t="e">
        <f t="shared" si="12"/>
        <v>#N/A</v>
      </c>
      <c r="C166" s="27"/>
      <c r="D166" s="7">
        <f t="shared" si="13"/>
        <v>0</v>
      </c>
      <c r="E166"/>
      <c r="G166"/>
      <c r="H166"/>
      <c r="I166"/>
      <c r="J166"/>
      <c r="K166"/>
      <c r="L166"/>
      <c r="M166"/>
    </row>
    <row r="167" spans="1:13" s="34" customFormat="1" x14ac:dyDescent="0.3">
      <c r="A167" s="23" t="s">
        <v>137</v>
      </c>
      <c r="B167" s="12" t="e">
        <f t="shared" si="12"/>
        <v>#N/A</v>
      </c>
      <c r="C167" s="27"/>
      <c r="D167" s="7">
        <f t="shared" si="13"/>
        <v>0</v>
      </c>
      <c r="E167"/>
      <c r="G167"/>
      <c r="H167"/>
      <c r="I167"/>
      <c r="J167"/>
      <c r="K167"/>
      <c r="L167"/>
      <c r="M167"/>
    </row>
    <row r="168" spans="1:13" s="34" customFormat="1" x14ac:dyDescent="0.3">
      <c r="A168" s="23" t="s">
        <v>138</v>
      </c>
      <c r="B168" s="12" t="e">
        <f t="shared" si="12"/>
        <v>#N/A</v>
      </c>
      <c r="C168" s="27"/>
      <c r="D168" s="7">
        <f t="shared" si="13"/>
        <v>0</v>
      </c>
      <c r="E168"/>
      <c r="G168"/>
      <c r="H168"/>
      <c r="I168"/>
      <c r="J168"/>
      <c r="K168"/>
      <c r="L168"/>
      <c r="M168"/>
    </row>
    <row r="169" spans="1:13" s="34" customFormat="1" x14ac:dyDescent="0.3">
      <c r="A169" s="23" t="s">
        <v>139</v>
      </c>
      <c r="B169" s="12" t="e">
        <f t="shared" si="12"/>
        <v>#N/A</v>
      </c>
      <c r="C169" s="27"/>
      <c r="D169" s="7">
        <f t="shared" si="13"/>
        <v>0</v>
      </c>
      <c r="E169"/>
      <c r="G169"/>
      <c r="H169"/>
      <c r="I169"/>
      <c r="J169"/>
      <c r="K169"/>
      <c r="L169"/>
      <c r="M169"/>
    </row>
    <row r="170" spans="1:13" s="34" customFormat="1" x14ac:dyDescent="0.3">
      <c r="A170" s="28" t="str">
        <f>B143&amp;" Total"</f>
        <v xml:space="preserve"> Total</v>
      </c>
      <c r="B170" s="121"/>
      <c r="C170" s="20"/>
      <c r="D170" s="26" t="e">
        <f>SUM(D151,D153:D162,D164:D169)</f>
        <v>#N/A</v>
      </c>
      <c r="E170"/>
      <c r="G170"/>
      <c r="H170"/>
      <c r="I170"/>
      <c r="J170"/>
      <c r="K170"/>
      <c r="L170"/>
      <c r="M170"/>
    </row>
    <row r="171" spans="1:13" s="34" customFormat="1" ht="15.75" customHeight="1" x14ac:dyDescent="0.3">
      <c r="A171" s="28" t="s">
        <v>460</v>
      </c>
      <c r="B171" s="29" t="s">
        <v>464</v>
      </c>
      <c r="C171" s="29" t="s">
        <v>466</v>
      </c>
      <c r="D171" s="29" t="s">
        <v>465</v>
      </c>
      <c r="E171" s="29" t="s">
        <v>111</v>
      </c>
    </row>
    <row r="172" spans="1:13" s="34" customFormat="1" x14ac:dyDescent="0.3">
      <c r="A172" s="68" t="s">
        <v>457</v>
      </c>
      <c r="B172" s="132">
        <f>Greenhouse_Rate</f>
        <v>1</v>
      </c>
      <c r="C172" s="137">
        <f>IF(OR(B143="Lonoke Ag Center",B143="RIRE, Stuttgart",B143="Rosen Center"),E144,0)</f>
        <v>0</v>
      </c>
      <c r="D172" s="136">
        <f>IF(OR(B143="Lonoke Ag Center",B143="RIRE, Stuttgart",B143="Rosen Center"),F144,0)</f>
        <v>0</v>
      </c>
      <c r="E172" s="135">
        <f>C172*D172*B172</f>
        <v>0</v>
      </c>
    </row>
    <row r="173" spans="1:13" s="34" customFormat="1" x14ac:dyDescent="0.3">
      <c r="A173" s="68" t="s">
        <v>458</v>
      </c>
      <c r="B173" s="132">
        <f>Growth_Chamber_Rate</f>
        <v>6.8</v>
      </c>
      <c r="C173" s="137">
        <f>IF(OR(B143="RIRE, Stuttgart",B143="Rosen Center"),E145,0)</f>
        <v>0</v>
      </c>
      <c r="D173" s="136">
        <f>IF(OR(B143="RIRE, Stuttgart",B143="Rosen Center"),F145,0)</f>
        <v>0</v>
      </c>
      <c r="E173" s="135">
        <f>C173*D173*B173</f>
        <v>0</v>
      </c>
    </row>
    <row r="174" spans="1:13" s="34" customFormat="1" x14ac:dyDescent="0.3">
      <c r="A174" s="68" t="s">
        <v>459</v>
      </c>
      <c r="B174" s="132">
        <f>Quarantine_Rate</f>
        <v>1.1000000000000001</v>
      </c>
      <c r="C174" s="137">
        <f>IF(B143="Rosen Center",E146,0)</f>
        <v>0</v>
      </c>
      <c r="D174" s="136">
        <f>IF(B143="Rosen Center",F146,0)</f>
        <v>0</v>
      </c>
      <c r="E174" s="135">
        <f>C174*D174*B174</f>
        <v>0</v>
      </c>
    </row>
    <row r="175" spans="1:13" s="34" customFormat="1" x14ac:dyDescent="0.3">
      <c r="A175" s="130" t="s">
        <v>111</v>
      </c>
      <c r="B175" s="144"/>
      <c r="C175" s="137">
        <f>SUM(C172:C174)</f>
        <v>0</v>
      </c>
      <c r="D175" s="136">
        <f>SUM(D172:D174)</f>
        <v>0</v>
      </c>
      <c r="E175" s="26">
        <f t="shared" ref="E175" si="14">SUM(E172:E174)</f>
        <v>0</v>
      </c>
    </row>
    <row r="176" spans="1:13" s="34" customFormat="1" x14ac:dyDescent="0.3">
      <c r="A176" s="254" t="s">
        <v>229</v>
      </c>
      <c r="B176" s="255"/>
      <c r="C176" s="255"/>
      <c r="D176" s="255"/>
      <c r="E176" s="255"/>
      <c r="F176" s="255"/>
      <c r="G176"/>
      <c r="H176"/>
      <c r="I176"/>
      <c r="J176"/>
      <c r="K176"/>
      <c r="L176"/>
      <c r="M176"/>
    </row>
    <row r="177" spans="1:6" x14ac:dyDescent="0.3">
      <c r="A177" s="68" t="s">
        <v>115</v>
      </c>
      <c r="B177" s="278"/>
      <c r="C177" s="278"/>
      <c r="D177" s="278"/>
      <c r="E177" s="278"/>
      <c r="F177" s="278"/>
    </row>
    <row r="178" spans="1:6" x14ac:dyDescent="0.3">
      <c r="A178" s="68" t="s">
        <v>116</v>
      </c>
      <c r="B178" s="289"/>
      <c r="C178" s="289"/>
      <c r="D178" s="289"/>
      <c r="E178" s="289"/>
      <c r="F178" s="289"/>
    </row>
    <row r="179" spans="1:6" x14ac:dyDescent="0.3">
      <c r="A179" s="68" t="s">
        <v>117</v>
      </c>
      <c r="B179" s="258"/>
      <c r="C179" s="258"/>
      <c r="D179" s="258"/>
      <c r="E179" s="258"/>
      <c r="F179" s="258"/>
    </row>
    <row r="180" spans="1:6" x14ac:dyDescent="0.3">
      <c r="A180" s="68" t="s">
        <v>228</v>
      </c>
      <c r="B180" s="258"/>
      <c r="C180" s="258"/>
      <c r="D180" s="258"/>
      <c r="E180" s="258"/>
      <c r="F180" s="258"/>
    </row>
    <row r="181" spans="1:6" x14ac:dyDescent="0.3">
      <c r="A181" s="68" t="s">
        <v>118</v>
      </c>
      <c r="B181" s="257"/>
      <c r="C181" s="258"/>
      <c r="D181" s="258"/>
      <c r="E181" s="258"/>
      <c r="F181" s="258"/>
    </row>
    <row r="182" spans="1:6" x14ac:dyDescent="0.3">
      <c r="A182" s="68" t="s">
        <v>126</v>
      </c>
      <c r="B182" s="277"/>
      <c r="C182" s="277"/>
      <c r="D182" s="277"/>
      <c r="E182" s="277"/>
      <c r="F182" s="277"/>
    </row>
    <row r="183" spans="1:6" x14ac:dyDescent="0.3">
      <c r="A183" s="68" t="s">
        <v>127</v>
      </c>
      <c r="B183" s="277"/>
      <c r="C183" s="277"/>
      <c r="D183" s="277"/>
      <c r="E183" s="277"/>
      <c r="F183" s="277"/>
    </row>
    <row r="184" spans="1:6" x14ac:dyDescent="0.3">
      <c r="A184" s="68" t="s">
        <v>119</v>
      </c>
      <c r="B184" s="277"/>
      <c r="C184" s="277"/>
      <c r="D184" s="277"/>
      <c r="E184" s="277"/>
      <c r="F184" s="277"/>
    </row>
    <row r="185" spans="1:6" x14ac:dyDescent="0.3">
      <c r="A185" s="290" t="s">
        <v>120</v>
      </c>
      <c r="B185" s="286"/>
      <c r="C185" s="287"/>
      <c r="D185" s="287"/>
      <c r="E185" s="287"/>
      <c r="F185" s="288"/>
    </row>
    <row r="186" spans="1:6" x14ac:dyDescent="0.3">
      <c r="A186" s="291"/>
      <c r="B186" s="240"/>
      <c r="C186" s="241"/>
      <c r="D186" s="241"/>
      <c r="E186" s="241"/>
      <c r="F186" s="242"/>
    </row>
    <row r="187" spans="1:6" x14ac:dyDescent="0.3">
      <c r="A187" s="291"/>
      <c r="B187" s="240"/>
      <c r="C187" s="241"/>
      <c r="D187" s="241"/>
      <c r="E187" s="241"/>
      <c r="F187" s="242"/>
    </row>
    <row r="188" spans="1:6" x14ac:dyDescent="0.3">
      <c r="A188" s="291"/>
      <c r="B188" s="240"/>
      <c r="C188" s="241"/>
      <c r="D188" s="241"/>
      <c r="E188" s="241"/>
      <c r="F188" s="242"/>
    </row>
    <row r="189" spans="1:6" x14ac:dyDescent="0.3">
      <c r="A189" s="291"/>
      <c r="B189" s="240"/>
      <c r="C189" s="241"/>
      <c r="D189" s="241"/>
      <c r="E189" s="241"/>
      <c r="F189" s="242"/>
    </row>
    <row r="190" spans="1:6" x14ac:dyDescent="0.3">
      <c r="A190" s="291"/>
      <c r="B190" s="240"/>
      <c r="C190" s="241"/>
      <c r="D190" s="241"/>
      <c r="E190" s="241"/>
      <c r="F190" s="242"/>
    </row>
    <row r="191" spans="1:6" x14ac:dyDescent="0.3">
      <c r="A191" s="291"/>
      <c r="B191" s="240"/>
      <c r="C191" s="241"/>
      <c r="D191" s="241"/>
      <c r="E191" s="241"/>
      <c r="F191" s="242"/>
    </row>
    <row r="192" spans="1:6" x14ac:dyDescent="0.3">
      <c r="A192" s="291"/>
      <c r="B192" s="240"/>
      <c r="C192" s="241"/>
      <c r="D192" s="241"/>
      <c r="E192" s="241"/>
      <c r="F192" s="242"/>
    </row>
    <row r="193" spans="1:6" x14ac:dyDescent="0.3">
      <c r="A193" s="292"/>
      <c r="B193" s="285"/>
      <c r="C193" s="285"/>
      <c r="D193" s="285"/>
      <c r="E193" s="285"/>
      <c r="F193" s="285"/>
    </row>
    <row r="194" spans="1:6" x14ac:dyDescent="0.3">
      <c r="A194" s="73" t="s">
        <v>121</v>
      </c>
      <c r="B194" s="249" t="s">
        <v>230</v>
      </c>
      <c r="C194" s="249"/>
      <c r="D194" s="18"/>
      <c r="E194" s="283"/>
      <c r="F194" s="284"/>
    </row>
    <row r="195" spans="1:6" x14ac:dyDescent="0.3">
      <c r="A195" s="68" t="s">
        <v>231</v>
      </c>
      <c r="B195" s="243"/>
      <c r="C195" s="244"/>
      <c r="D195" s="244"/>
      <c r="E195" s="244"/>
      <c r="F195" s="245"/>
    </row>
    <row r="196" spans="1:6" x14ac:dyDescent="0.3">
      <c r="A196" s="73" t="s">
        <v>122</v>
      </c>
      <c r="B196" s="249" t="s">
        <v>230</v>
      </c>
      <c r="C196" s="249"/>
      <c r="D196" s="18"/>
      <c r="E196" s="283"/>
      <c r="F196" s="284"/>
    </row>
    <row r="197" spans="1:6" x14ac:dyDescent="0.3">
      <c r="A197" s="75" t="s">
        <v>232</v>
      </c>
      <c r="B197" s="243"/>
      <c r="C197" s="244"/>
      <c r="D197" s="244"/>
      <c r="E197" s="244"/>
      <c r="F197" s="245"/>
    </row>
    <row r="198" spans="1:6" x14ac:dyDescent="0.3">
      <c r="A198" s="73" t="s">
        <v>123</v>
      </c>
      <c r="B198" s="249" t="s">
        <v>230</v>
      </c>
      <c r="C198" s="249"/>
      <c r="D198" s="18"/>
      <c r="E198" s="283"/>
      <c r="F198" s="284"/>
    </row>
    <row r="199" spans="1:6" x14ac:dyDescent="0.3">
      <c r="A199" s="75" t="s">
        <v>233</v>
      </c>
      <c r="B199" s="243"/>
      <c r="C199" s="244"/>
      <c r="D199" s="244"/>
      <c r="E199" s="244"/>
      <c r="F199" s="245"/>
    </row>
    <row r="200" spans="1:6" x14ac:dyDescent="0.3">
      <c r="A200" s="73" t="s">
        <v>124</v>
      </c>
      <c r="B200" s="249" t="s">
        <v>230</v>
      </c>
      <c r="C200" s="249"/>
      <c r="D200" s="18"/>
      <c r="E200" s="283"/>
      <c r="F200" s="284"/>
    </row>
    <row r="201" spans="1:6" x14ac:dyDescent="0.3">
      <c r="A201" s="75" t="s">
        <v>234</v>
      </c>
      <c r="B201" s="243"/>
      <c r="C201" s="244"/>
      <c r="D201" s="244"/>
      <c r="E201" s="244"/>
      <c r="F201" s="245"/>
    </row>
    <row r="202" spans="1:6" x14ac:dyDescent="0.3">
      <c r="A202" s="73" t="s">
        <v>125</v>
      </c>
      <c r="B202" s="76" t="s">
        <v>119</v>
      </c>
      <c r="C202" s="20" t="s">
        <v>128</v>
      </c>
      <c r="D202" s="246"/>
      <c r="E202" s="247"/>
      <c r="F202" s="248"/>
    </row>
    <row r="203" spans="1:6" x14ac:dyDescent="0.3">
      <c r="A203" s="75" t="s">
        <v>235</v>
      </c>
      <c r="B203" s="243"/>
      <c r="C203" s="244"/>
      <c r="D203" s="244"/>
      <c r="E203" s="244"/>
      <c r="F203" s="245"/>
    </row>
    <row r="204" spans="1:6" x14ac:dyDescent="0.3">
      <c r="A204" s="72" t="s">
        <v>129</v>
      </c>
      <c r="B204" s="279"/>
      <c r="C204" s="280"/>
      <c r="D204" s="280"/>
      <c r="E204" s="280"/>
      <c r="F204" s="281"/>
    </row>
    <row r="205" spans="1:6" x14ac:dyDescent="0.3">
      <c r="A205" s="72" t="s">
        <v>130</v>
      </c>
      <c r="B205" s="279"/>
      <c r="C205" s="280"/>
      <c r="D205" s="280"/>
      <c r="E205" s="280"/>
      <c r="F205" s="281"/>
    </row>
    <row r="206" spans="1:6" x14ac:dyDescent="0.3">
      <c r="A206" s="77" t="s">
        <v>131</v>
      </c>
      <c r="B206" s="279"/>
      <c r="C206" s="280"/>
      <c r="D206" s="280"/>
      <c r="E206" s="280"/>
      <c r="F206" s="281"/>
    </row>
    <row r="207" spans="1:6" s="34" customFormat="1" ht="15.75" customHeight="1" thickBot="1" x14ac:dyDescent="0.35"/>
    <row r="208" spans="1:6" ht="20.100000000000001" customHeight="1" thickTop="1" thickBot="1" x14ac:dyDescent="0.35">
      <c r="A208" s="301" t="s">
        <v>212</v>
      </c>
      <c r="B208" s="301"/>
      <c r="C208" s="301"/>
      <c r="D208" s="301"/>
      <c r="E208" s="301"/>
      <c r="F208" s="301"/>
    </row>
    <row r="209" spans="1:7" ht="55.5" customHeight="1" thickTop="1" x14ac:dyDescent="0.3">
      <c r="A209"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303"/>
      <c r="C209" s="304"/>
      <c r="D209"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209" s="294"/>
      <c r="F209" s="295"/>
    </row>
    <row r="210" spans="1:7" ht="18.75" customHeight="1" x14ac:dyDescent="0.3">
      <c r="A210" s="231" t="s">
        <v>208</v>
      </c>
      <c r="B210" s="231"/>
      <c r="C210" s="231"/>
      <c r="D210" s="254" t="s">
        <v>456</v>
      </c>
      <c r="E210" s="255"/>
      <c r="F210" s="256"/>
    </row>
    <row r="211" spans="1:7" x14ac:dyDescent="0.3">
      <c r="A211" s="58" t="s">
        <v>182</v>
      </c>
      <c r="B211" s="222"/>
      <c r="C211" s="222"/>
      <c r="D211" s="73" t="s">
        <v>455</v>
      </c>
      <c r="E211" s="73" t="s">
        <v>451</v>
      </c>
      <c r="F211" s="73" t="s">
        <v>452</v>
      </c>
    </row>
    <row r="212" spans="1:7" x14ac:dyDescent="0.3">
      <c r="A212" s="58" t="s">
        <v>201</v>
      </c>
      <c r="B212" s="222"/>
      <c r="C212" s="222"/>
      <c r="D212" s="73" t="s">
        <v>448</v>
      </c>
      <c r="E212" s="156"/>
      <c r="F212" s="157"/>
      <c r="G212" s="113" t="str">
        <f>IF(AND(E212+F212&gt;0,$B$211&lt;&gt;"RIRE, Stuttgart",$B$211&lt;&gt;"Rosen Center",$B$211&lt;&gt;"Lonoke Ag Center"),"* Error - facility not available at selected Research Station","")</f>
        <v/>
      </c>
    </row>
    <row r="213" spans="1:7" x14ac:dyDescent="0.3">
      <c r="A213" s="58" t="s">
        <v>183</v>
      </c>
      <c r="B213" s="260"/>
      <c r="C213" s="260"/>
      <c r="D213" s="73" t="s">
        <v>449</v>
      </c>
      <c r="E213" s="156"/>
      <c r="F213" s="158"/>
      <c r="G213" s="113" t="str">
        <f>IF(AND(E213+F213&gt;0,$B$211&lt;&gt;"RIRE, Stuttgart",$B$211&lt;&gt;"Rosen Center"),"* Error - facility not available at selected Research Station","")</f>
        <v/>
      </c>
    </row>
    <row r="214" spans="1:7" x14ac:dyDescent="0.3">
      <c r="A214" s="58" t="s">
        <v>184</v>
      </c>
      <c r="B214" s="260"/>
      <c r="C214" s="260"/>
      <c r="D214" s="73" t="s">
        <v>450</v>
      </c>
      <c r="E214" s="156"/>
      <c r="F214" s="158"/>
      <c r="G214" s="113" t="str">
        <f>IF(AND(E214+F214&gt;0,$B$211&lt;&gt;"Rosen Center"),"* Error - facility not available at selected Research Station","")</f>
        <v/>
      </c>
    </row>
    <row r="215" spans="1:7" ht="15.75" customHeight="1" x14ac:dyDescent="0.3">
      <c r="A215" s="58" t="s">
        <v>185</v>
      </c>
      <c r="B215" s="260"/>
      <c r="C215" s="260"/>
      <c r="D215" s="263" t="str">
        <f>IF(OR(G212="* Error - facility not available at selected Research Station",G213="* Error - facility not available at selected Research Station",G214="* Error - facility not available at selected Research Station"),"See error message(s)","")</f>
        <v/>
      </c>
      <c r="E215" s="272"/>
      <c r="F215" s="273"/>
    </row>
    <row r="216" spans="1:7" x14ac:dyDescent="0.3">
      <c r="A216" s="58" t="s">
        <v>186</v>
      </c>
      <c r="B216" s="260"/>
      <c r="C216" s="260"/>
      <c r="D216" s="274"/>
      <c r="E216" s="275"/>
      <c r="F216" s="276"/>
    </row>
    <row r="217" spans="1:7" ht="75.75" customHeight="1" x14ac:dyDescent="0.3">
      <c r="A217" s="282" t="s">
        <v>336</v>
      </c>
      <c r="B217" s="282"/>
      <c r="C217" s="282"/>
      <c r="D217" s="282"/>
      <c r="E217" s="282"/>
      <c r="F217" s="282"/>
    </row>
    <row r="218" spans="1:7" ht="31.2" x14ac:dyDescent="0.3">
      <c r="A218" s="29" t="s">
        <v>11</v>
      </c>
      <c r="B218" s="29" t="s">
        <v>114</v>
      </c>
      <c r="C218" s="94" t="s">
        <v>141</v>
      </c>
      <c r="D218" s="29" t="s">
        <v>132</v>
      </c>
      <c r="F218" s="34"/>
    </row>
    <row r="219" spans="1:7" x14ac:dyDescent="0.3">
      <c r="A219" s="23" t="s">
        <v>113</v>
      </c>
      <c r="B219" s="7" t="e">
        <f>IF(OR(B211="Rosen Center",B211="Lonoke Ag Center"),0,IF(B211&lt;&gt;"RIRE, Stuttgart",HLOOKUP(B212,Fixed_Rate_Optional,2,FALSE)*B213,100*B213))</f>
        <v>#N/A</v>
      </c>
      <c r="C219" s="13" t="s">
        <v>112</v>
      </c>
      <c r="D219" s="119" t="e">
        <f t="shared" ref="D219" si="15">IF(C219="Yes",B219,0)</f>
        <v>#N/A</v>
      </c>
      <c r="F219" s="34"/>
    </row>
    <row r="220" spans="1:7" x14ac:dyDescent="0.3">
      <c r="A220" s="28" t="s">
        <v>140</v>
      </c>
      <c r="B220" s="24"/>
      <c r="C220" s="24"/>
      <c r="D220" s="25"/>
      <c r="F220" s="34"/>
    </row>
    <row r="221" spans="1:7" x14ac:dyDescent="0.3">
      <c r="A221" s="23" t="s">
        <v>5</v>
      </c>
      <c r="B221" s="12" t="e">
        <f t="shared" ref="B221:B229" si="16">IF(OR($B$211="Rosen Center",$B$211="Lonoke Ag Center"),0,INDEX(Fixed_Rate_Optional,MATCH(A221,Expense_Item,0),MATCH($B$212,Commodity_Item,0))*$B$213)</f>
        <v>#N/A</v>
      </c>
      <c r="C221" s="27"/>
      <c r="D221" s="7">
        <f t="shared" ref="D221:D230" si="17">IF(C221="Yes",B221,0)</f>
        <v>0</v>
      </c>
      <c r="F221" s="34"/>
    </row>
    <row r="222" spans="1:7" x14ac:dyDescent="0.3">
      <c r="A222" s="23" t="s">
        <v>6</v>
      </c>
      <c r="B222" s="12" t="e">
        <f t="shared" si="16"/>
        <v>#N/A</v>
      </c>
      <c r="C222" s="27"/>
      <c r="D222" s="7">
        <f t="shared" si="17"/>
        <v>0</v>
      </c>
      <c r="F222" s="34"/>
    </row>
    <row r="223" spans="1:7" x14ac:dyDescent="0.3">
      <c r="A223" s="23" t="s">
        <v>7</v>
      </c>
      <c r="B223" s="12" t="e">
        <f t="shared" si="16"/>
        <v>#N/A</v>
      </c>
      <c r="C223" s="27"/>
      <c r="D223" s="7">
        <f t="shared" si="17"/>
        <v>0</v>
      </c>
      <c r="F223" s="34"/>
    </row>
    <row r="224" spans="1:7" x14ac:dyDescent="0.3">
      <c r="A224" s="23" t="s">
        <v>8</v>
      </c>
      <c r="B224" s="12" t="e">
        <f t="shared" si="16"/>
        <v>#N/A</v>
      </c>
      <c r="C224" s="27"/>
      <c r="D224" s="7">
        <f t="shared" si="17"/>
        <v>0</v>
      </c>
      <c r="F224" s="34"/>
    </row>
    <row r="225" spans="1:6" x14ac:dyDescent="0.3">
      <c r="A225" s="23" t="s">
        <v>9</v>
      </c>
      <c r="B225" s="12" t="e">
        <f t="shared" si="16"/>
        <v>#N/A</v>
      </c>
      <c r="C225" s="27"/>
      <c r="D225" s="7">
        <f t="shared" si="17"/>
        <v>0</v>
      </c>
      <c r="F225" s="34"/>
    </row>
    <row r="226" spans="1:6" x14ac:dyDescent="0.3">
      <c r="A226" s="23" t="s">
        <v>10</v>
      </c>
      <c r="B226" s="12" t="e">
        <f t="shared" si="16"/>
        <v>#N/A</v>
      </c>
      <c r="C226" s="27"/>
      <c r="D226" s="7">
        <f t="shared" si="17"/>
        <v>0</v>
      </c>
      <c r="F226" s="34"/>
    </row>
    <row r="227" spans="1:6" x14ac:dyDescent="0.3">
      <c r="A227" s="23" t="s">
        <v>13</v>
      </c>
      <c r="B227" s="12" t="e">
        <f t="shared" si="16"/>
        <v>#N/A</v>
      </c>
      <c r="C227" s="27"/>
      <c r="D227" s="7">
        <f t="shared" si="17"/>
        <v>0</v>
      </c>
      <c r="F227" s="34"/>
    </row>
    <row r="228" spans="1:6" x14ac:dyDescent="0.3">
      <c r="A228" s="23" t="s">
        <v>14</v>
      </c>
      <c r="B228" s="12" t="e">
        <f t="shared" si="16"/>
        <v>#N/A</v>
      </c>
      <c r="C228" s="27"/>
      <c r="D228" s="7">
        <f t="shared" si="17"/>
        <v>0</v>
      </c>
      <c r="F228" s="34"/>
    </row>
    <row r="229" spans="1:6" x14ac:dyDescent="0.3">
      <c r="A229" s="23" t="s">
        <v>15</v>
      </c>
      <c r="B229" s="12" t="e">
        <f t="shared" si="16"/>
        <v>#N/A</v>
      </c>
      <c r="C229" s="27"/>
      <c r="D229" s="7">
        <f t="shared" si="17"/>
        <v>0</v>
      </c>
      <c r="F229" s="34"/>
    </row>
    <row r="230" spans="1:6" x14ac:dyDescent="0.3">
      <c r="A230" s="23" t="s">
        <v>16</v>
      </c>
      <c r="B230" s="12" t="e">
        <f>IF(OR(B211="Rosen Center",B211="Lonoke Ag Center"),0,INDEX(Fixed_Rate_Optional,MATCH(A230,Expense_Item,0),MATCH(B212,Commodity_Item,0))*B215*B216)</f>
        <v>#N/A</v>
      </c>
      <c r="C230" s="27"/>
      <c r="D230" s="7">
        <f t="shared" si="17"/>
        <v>0</v>
      </c>
      <c r="F230" s="34"/>
    </row>
    <row r="231" spans="1:6" x14ac:dyDescent="0.3">
      <c r="A231" s="28" t="s">
        <v>133</v>
      </c>
      <c r="B231" s="298"/>
      <c r="C231" s="299"/>
      <c r="D231" s="300"/>
      <c r="F231" s="34"/>
    </row>
    <row r="232" spans="1:6" x14ac:dyDescent="0.3">
      <c r="A232" s="23" t="s">
        <v>134</v>
      </c>
      <c r="B232" s="12" t="e">
        <f t="shared" ref="B232:B237" si="18">IF(OR($B$211="Rosen Center",$B$211="Lonoke Ag Center"),0,INDEX(Fixed_Rate_Optional,MATCH(A232,Expense_Item,0),MATCH($B$212,Commodity_Item,0))*$B$213)</f>
        <v>#N/A</v>
      </c>
      <c r="C232" s="27"/>
      <c r="D232" s="7">
        <f t="shared" ref="D232:D237" si="19">IF(C232="Yes",B232,0)</f>
        <v>0</v>
      </c>
      <c r="F232" s="34"/>
    </row>
    <row r="233" spans="1:6" x14ac:dyDescent="0.3">
      <c r="A233" s="23" t="s">
        <v>135</v>
      </c>
      <c r="B233" s="12" t="e">
        <f t="shared" si="18"/>
        <v>#N/A</v>
      </c>
      <c r="C233" s="27"/>
      <c r="D233" s="7">
        <f t="shared" si="19"/>
        <v>0</v>
      </c>
      <c r="F233" s="34"/>
    </row>
    <row r="234" spans="1:6" x14ac:dyDescent="0.3">
      <c r="A234" s="23" t="s">
        <v>136</v>
      </c>
      <c r="B234" s="12" t="e">
        <f t="shared" si="18"/>
        <v>#N/A</v>
      </c>
      <c r="C234" s="27"/>
      <c r="D234" s="7">
        <f t="shared" si="19"/>
        <v>0</v>
      </c>
      <c r="F234" s="34"/>
    </row>
    <row r="235" spans="1:6" x14ac:dyDescent="0.3">
      <c r="A235" s="23" t="s">
        <v>137</v>
      </c>
      <c r="B235" s="12" t="e">
        <f t="shared" si="18"/>
        <v>#N/A</v>
      </c>
      <c r="C235" s="27"/>
      <c r="D235" s="7">
        <f t="shared" si="19"/>
        <v>0</v>
      </c>
      <c r="F235" s="34"/>
    </row>
    <row r="236" spans="1:6" x14ac:dyDescent="0.3">
      <c r="A236" s="23" t="s">
        <v>138</v>
      </c>
      <c r="B236" s="12" t="e">
        <f t="shared" si="18"/>
        <v>#N/A</v>
      </c>
      <c r="C236" s="27"/>
      <c r="D236" s="7">
        <f t="shared" si="19"/>
        <v>0</v>
      </c>
      <c r="F236" s="34"/>
    </row>
    <row r="237" spans="1:6" x14ac:dyDescent="0.3">
      <c r="A237" s="23" t="s">
        <v>139</v>
      </c>
      <c r="B237" s="12" t="e">
        <f t="shared" si="18"/>
        <v>#N/A</v>
      </c>
      <c r="C237" s="27"/>
      <c r="D237" s="7">
        <f t="shared" si="19"/>
        <v>0</v>
      </c>
      <c r="F237" s="34"/>
    </row>
    <row r="238" spans="1:6" x14ac:dyDescent="0.3">
      <c r="A238" s="28" t="str">
        <f>B211&amp;" Total"</f>
        <v xml:space="preserve"> Total</v>
      </c>
      <c r="B238" s="121"/>
      <c r="C238" s="20"/>
      <c r="D238" s="26" t="e">
        <f>SUM(D219,D221:D230,D232:D237)</f>
        <v>#N/A</v>
      </c>
      <c r="F238" s="34"/>
    </row>
    <row r="239" spans="1:6" s="34" customFormat="1" ht="15.75" customHeight="1" x14ac:dyDescent="0.3">
      <c r="A239" s="28" t="s">
        <v>460</v>
      </c>
      <c r="B239" s="29" t="s">
        <v>464</v>
      </c>
      <c r="C239" s="29" t="s">
        <v>466</v>
      </c>
      <c r="D239" s="29" t="s">
        <v>465</v>
      </c>
      <c r="E239" s="29" t="s">
        <v>111</v>
      </c>
    </row>
    <row r="240" spans="1:6" s="34" customFormat="1" x14ac:dyDescent="0.3">
      <c r="A240" s="68" t="s">
        <v>457</v>
      </c>
      <c r="B240" s="132">
        <f>Greenhouse_Rate</f>
        <v>1</v>
      </c>
      <c r="C240" s="137">
        <f>IF(OR(B211="Lonoke Ag Center",B211="RIRE, Stuttgart",B211="Rosen Center"),E212,0)</f>
        <v>0</v>
      </c>
      <c r="D240" s="136">
        <f>IF(OR(B211="Lonoke Ag Center",B211="RIRE, Stuttgart",B211="Rosen Center"),F212,0)</f>
        <v>0</v>
      </c>
      <c r="E240" s="135">
        <f>C240*D240*B240</f>
        <v>0</v>
      </c>
    </row>
    <row r="241" spans="1:6" s="34" customFormat="1" x14ac:dyDescent="0.3">
      <c r="A241" s="68" t="s">
        <v>458</v>
      </c>
      <c r="B241" s="132">
        <f>Growth_Chamber_Rate</f>
        <v>6.8</v>
      </c>
      <c r="C241" s="137">
        <f>IF(OR(B211="RIRE, Stuttgart",B211="Rosen Center"),E213,0)</f>
        <v>0</v>
      </c>
      <c r="D241" s="136">
        <f>IF(OR(B211="RIRE, Stuttgart",B211="Rosen Center"),F213,0)</f>
        <v>0</v>
      </c>
      <c r="E241" s="135">
        <f>C241*D241*B241</f>
        <v>0</v>
      </c>
    </row>
    <row r="242" spans="1:6" s="34" customFormat="1" x14ac:dyDescent="0.3">
      <c r="A242" s="68" t="s">
        <v>459</v>
      </c>
      <c r="B242" s="132">
        <f>Quarantine_Rate</f>
        <v>1.1000000000000001</v>
      </c>
      <c r="C242" s="137">
        <f>IF(B211="Rosen Center",E214,0)</f>
        <v>0</v>
      </c>
      <c r="D242" s="136">
        <f>IF(B211="Rosen Center",F214,0)</f>
        <v>0</v>
      </c>
      <c r="E242" s="135">
        <f>C242*D242*B242</f>
        <v>0</v>
      </c>
    </row>
    <row r="243" spans="1:6" s="34" customFormat="1" x14ac:dyDescent="0.3">
      <c r="A243" s="130" t="s">
        <v>111</v>
      </c>
      <c r="B243" s="144"/>
      <c r="C243" s="137">
        <f>SUM(C240:C242)</f>
        <v>0</v>
      </c>
      <c r="D243" s="136">
        <f>SUM(D240:D242)</f>
        <v>0</v>
      </c>
      <c r="E243" s="26">
        <f t="shared" ref="E243" si="20">SUM(E240:E242)</f>
        <v>0</v>
      </c>
    </row>
    <row r="244" spans="1:6" x14ac:dyDescent="0.3">
      <c r="A244" s="254" t="s">
        <v>229</v>
      </c>
      <c r="B244" s="255"/>
      <c r="C244" s="255"/>
      <c r="D244" s="255"/>
      <c r="E244" s="255"/>
      <c r="F244" s="255"/>
    </row>
    <row r="245" spans="1:6" x14ac:dyDescent="0.3">
      <c r="A245" s="68" t="s">
        <v>115</v>
      </c>
      <c r="B245" s="278"/>
      <c r="C245" s="278"/>
      <c r="D245" s="278"/>
      <c r="E245" s="278"/>
      <c r="F245" s="278"/>
    </row>
    <row r="246" spans="1:6" x14ac:dyDescent="0.3">
      <c r="A246" s="68" t="s">
        <v>116</v>
      </c>
      <c r="B246" s="289"/>
      <c r="C246" s="289"/>
      <c r="D246" s="289"/>
      <c r="E246" s="289"/>
      <c r="F246" s="289"/>
    </row>
    <row r="247" spans="1:6" x14ac:dyDescent="0.3">
      <c r="A247" s="68" t="s">
        <v>117</v>
      </c>
      <c r="B247" s="258"/>
      <c r="C247" s="258"/>
      <c r="D247" s="258"/>
      <c r="E247" s="258"/>
      <c r="F247" s="258"/>
    </row>
    <row r="248" spans="1:6" x14ac:dyDescent="0.3">
      <c r="A248" s="68" t="s">
        <v>228</v>
      </c>
      <c r="B248" s="258"/>
      <c r="C248" s="258"/>
      <c r="D248" s="258"/>
      <c r="E248" s="258"/>
      <c r="F248" s="258"/>
    </row>
    <row r="249" spans="1:6" x14ac:dyDescent="0.3">
      <c r="A249" s="68" t="s">
        <v>118</v>
      </c>
      <c r="B249" s="257"/>
      <c r="C249" s="258"/>
      <c r="D249" s="258"/>
      <c r="E249" s="258"/>
      <c r="F249" s="258"/>
    </row>
    <row r="250" spans="1:6" x14ac:dyDescent="0.3">
      <c r="A250" s="68" t="s">
        <v>126</v>
      </c>
      <c r="B250" s="277"/>
      <c r="C250" s="277"/>
      <c r="D250" s="277"/>
      <c r="E250" s="277"/>
      <c r="F250" s="277"/>
    </row>
    <row r="251" spans="1:6" x14ac:dyDescent="0.3">
      <c r="A251" s="68" t="s">
        <v>127</v>
      </c>
      <c r="B251" s="277"/>
      <c r="C251" s="277"/>
      <c r="D251" s="277"/>
      <c r="E251" s="277"/>
      <c r="F251" s="277"/>
    </row>
    <row r="252" spans="1:6" x14ac:dyDescent="0.3">
      <c r="A252" s="68" t="s">
        <v>119</v>
      </c>
      <c r="B252" s="277"/>
      <c r="C252" s="277"/>
      <c r="D252" s="277"/>
      <c r="E252" s="277"/>
      <c r="F252" s="277"/>
    </row>
    <row r="253" spans="1:6" x14ac:dyDescent="0.3">
      <c r="A253" s="290" t="s">
        <v>120</v>
      </c>
      <c r="B253" s="286"/>
      <c r="C253" s="287"/>
      <c r="D253" s="287"/>
      <c r="E253" s="287"/>
      <c r="F253" s="288"/>
    </row>
    <row r="254" spans="1:6" x14ac:dyDescent="0.3">
      <c r="A254" s="291"/>
      <c r="B254" s="240"/>
      <c r="C254" s="241"/>
      <c r="D254" s="241"/>
      <c r="E254" s="241"/>
      <c r="F254" s="242"/>
    </row>
    <row r="255" spans="1:6" x14ac:dyDescent="0.3">
      <c r="A255" s="291"/>
      <c r="B255" s="240"/>
      <c r="C255" s="241"/>
      <c r="D255" s="241"/>
      <c r="E255" s="241"/>
      <c r="F255" s="242"/>
    </row>
    <row r="256" spans="1:6" x14ac:dyDescent="0.3">
      <c r="A256" s="291"/>
      <c r="B256" s="240"/>
      <c r="C256" s="241"/>
      <c r="D256" s="241"/>
      <c r="E256" s="241"/>
      <c r="F256" s="242"/>
    </row>
    <row r="257" spans="1:6" x14ac:dyDescent="0.3">
      <c r="A257" s="291"/>
      <c r="B257" s="240"/>
      <c r="C257" s="241"/>
      <c r="D257" s="241"/>
      <c r="E257" s="241"/>
      <c r="F257" s="242"/>
    </row>
    <row r="258" spans="1:6" x14ac:dyDescent="0.3">
      <c r="A258" s="291"/>
      <c r="B258" s="240"/>
      <c r="C258" s="241"/>
      <c r="D258" s="241"/>
      <c r="E258" s="241"/>
      <c r="F258" s="242"/>
    </row>
    <row r="259" spans="1:6" x14ac:dyDescent="0.3">
      <c r="A259" s="291"/>
      <c r="B259" s="240"/>
      <c r="C259" s="241"/>
      <c r="D259" s="241"/>
      <c r="E259" s="241"/>
      <c r="F259" s="242"/>
    </row>
    <row r="260" spans="1:6" x14ac:dyDescent="0.3">
      <c r="A260" s="291"/>
      <c r="B260" s="240"/>
      <c r="C260" s="241"/>
      <c r="D260" s="241"/>
      <c r="E260" s="241"/>
      <c r="F260" s="242"/>
    </row>
    <row r="261" spans="1:6" x14ac:dyDescent="0.3">
      <c r="A261" s="292"/>
      <c r="B261" s="285"/>
      <c r="C261" s="285"/>
      <c r="D261" s="285"/>
      <c r="E261" s="285"/>
      <c r="F261" s="285"/>
    </row>
    <row r="262" spans="1:6" x14ac:dyDescent="0.3">
      <c r="A262" s="73" t="s">
        <v>121</v>
      </c>
      <c r="B262" s="249" t="s">
        <v>230</v>
      </c>
      <c r="C262" s="249"/>
      <c r="D262" s="18"/>
      <c r="E262" s="283"/>
      <c r="F262" s="284"/>
    </row>
    <row r="263" spans="1:6" x14ac:dyDescent="0.3">
      <c r="A263" s="68" t="s">
        <v>231</v>
      </c>
      <c r="B263" s="243"/>
      <c r="C263" s="244"/>
      <c r="D263" s="244"/>
      <c r="E263" s="244"/>
      <c r="F263" s="245"/>
    </row>
    <row r="264" spans="1:6" x14ac:dyDescent="0.3">
      <c r="A264" s="73" t="s">
        <v>122</v>
      </c>
      <c r="B264" s="249" t="s">
        <v>230</v>
      </c>
      <c r="C264" s="249"/>
      <c r="D264" s="18"/>
      <c r="E264" s="283"/>
      <c r="F264" s="284"/>
    </row>
    <row r="265" spans="1:6" x14ac:dyDescent="0.3">
      <c r="A265" s="75" t="s">
        <v>232</v>
      </c>
      <c r="B265" s="243"/>
      <c r="C265" s="244"/>
      <c r="D265" s="244"/>
      <c r="E265" s="244"/>
      <c r="F265" s="245"/>
    </row>
    <row r="266" spans="1:6" x14ac:dyDescent="0.3">
      <c r="A266" s="73" t="s">
        <v>123</v>
      </c>
      <c r="B266" s="249" t="s">
        <v>230</v>
      </c>
      <c r="C266" s="249"/>
      <c r="D266" s="18"/>
      <c r="E266" s="283"/>
      <c r="F266" s="284"/>
    </row>
    <row r="267" spans="1:6" x14ac:dyDescent="0.3">
      <c r="A267" s="75" t="s">
        <v>233</v>
      </c>
      <c r="B267" s="243"/>
      <c r="C267" s="244"/>
      <c r="D267" s="244"/>
      <c r="E267" s="244"/>
      <c r="F267" s="245"/>
    </row>
    <row r="268" spans="1:6" x14ac:dyDescent="0.3">
      <c r="A268" s="73" t="s">
        <v>124</v>
      </c>
      <c r="B268" s="249" t="s">
        <v>230</v>
      </c>
      <c r="C268" s="249"/>
      <c r="D268" s="18"/>
      <c r="E268" s="283"/>
      <c r="F268" s="284"/>
    </row>
    <row r="269" spans="1:6" x14ac:dyDescent="0.3">
      <c r="A269" s="75" t="s">
        <v>234</v>
      </c>
      <c r="B269" s="243"/>
      <c r="C269" s="244"/>
      <c r="D269" s="244"/>
      <c r="E269" s="244"/>
      <c r="F269" s="245"/>
    </row>
    <row r="270" spans="1:6" x14ac:dyDescent="0.3">
      <c r="A270" s="73" t="s">
        <v>125</v>
      </c>
      <c r="B270" s="76" t="s">
        <v>119</v>
      </c>
      <c r="C270" s="20" t="s">
        <v>128</v>
      </c>
      <c r="D270" s="246"/>
      <c r="E270" s="247"/>
      <c r="F270" s="248"/>
    </row>
    <row r="271" spans="1:6" x14ac:dyDescent="0.3">
      <c r="A271" s="75" t="s">
        <v>235</v>
      </c>
      <c r="B271" s="243"/>
      <c r="C271" s="244"/>
      <c r="D271" s="244"/>
      <c r="E271" s="244"/>
      <c r="F271" s="245"/>
    </row>
    <row r="272" spans="1:6" x14ac:dyDescent="0.3">
      <c r="A272" s="72" t="s">
        <v>129</v>
      </c>
      <c r="B272" s="279"/>
      <c r="C272" s="280"/>
      <c r="D272" s="280"/>
      <c r="E272" s="280"/>
      <c r="F272" s="281"/>
    </row>
    <row r="273" spans="1:6" x14ac:dyDescent="0.3">
      <c r="A273" s="72" t="s">
        <v>130</v>
      </c>
      <c r="B273" s="279"/>
      <c r="C273" s="280"/>
      <c r="D273" s="280"/>
      <c r="E273" s="280"/>
      <c r="F273" s="281"/>
    </row>
    <row r="274" spans="1:6" x14ac:dyDescent="0.3">
      <c r="A274" s="77" t="s">
        <v>131</v>
      </c>
      <c r="B274" s="279"/>
      <c r="C274" s="280"/>
      <c r="D274" s="280"/>
      <c r="E274" s="280"/>
      <c r="F274" s="281"/>
    </row>
    <row r="275" spans="1:6" ht="15.75" customHeight="1" x14ac:dyDescent="0.3"/>
    <row r="276" spans="1:6" x14ac:dyDescent="0.3">
      <c r="A276" s="79" t="s">
        <v>227</v>
      </c>
      <c r="B276" s="29" t="s">
        <v>223</v>
      </c>
      <c r="C276" s="29" t="s">
        <v>224</v>
      </c>
      <c r="D276" s="29" t="s">
        <v>225</v>
      </c>
      <c r="E276" s="29" t="s">
        <v>226</v>
      </c>
      <c r="F276" s="29" t="s">
        <v>111</v>
      </c>
    </row>
    <row r="277" spans="1:6" x14ac:dyDescent="0.3">
      <c r="A277" s="68" t="s">
        <v>169</v>
      </c>
      <c r="B277" s="7">
        <f>IF($B$7=A277,$D$34,0)</f>
        <v>0</v>
      </c>
      <c r="C277" s="7">
        <f>IF($B$75=A277,$D$102,0)</f>
        <v>0</v>
      </c>
      <c r="D277" s="7">
        <f>IF($B$143=A277,$D$170,0)</f>
        <v>0</v>
      </c>
      <c r="E277" s="7">
        <f>IF($B$211=A277,$D$238,0)</f>
        <v>0</v>
      </c>
      <c r="F277" s="7">
        <f t="shared" ref="F277:F287" si="21">SUM(B277:E277)</f>
        <v>0</v>
      </c>
    </row>
    <row r="278" spans="1:6" x14ac:dyDescent="0.3">
      <c r="A278" s="68" t="s">
        <v>170</v>
      </c>
      <c r="B278" s="7">
        <f>IF($B$7=A278,$D$34,0)</f>
        <v>0</v>
      </c>
      <c r="C278" s="7">
        <f>IF($B$75=A278,$D$102,0)</f>
        <v>0</v>
      </c>
      <c r="D278" s="7">
        <f>IF($B$143=A278,$D$170,0)</f>
        <v>0</v>
      </c>
      <c r="E278" s="7">
        <f>IF($B$211=A278,$D$238,0)</f>
        <v>0</v>
      </c>
      <c r="F278" s="7">
        <f t="shared" si="21"/>
        <v>0</v>
      </c>
    </row>
    <row r="279" spans="1:6" x14ac:dyDescent="0.3">
      <c r="A279" s="68" t="s">
        <v>171</v>
      </c>
      <c r="B279" s="7">
        <f>IF($B$7=A279,$D$34+$E$39,0)</f>
        <v>0</v>
      </c>
      <c r="C279" s="7">
        <f t="shared" ref="C279" si="22">IF($B$75=A279,$D$102+$E$107,0)</f>
        <v>0</v>
      </c>
      <c r="D279" s="7">
        <f t="shared" ref="D279" si="23">IF($B$143=A279,$D$170+$E$175,0)</f>
        <v>0</v>
      </c>
      <c r="E279" s="7">
        <f t="shared" ref="E279" si="24">IF($B$211=A279,$D$238+$E$243,0)</f>
        <v>0</v>
      </c>
      <c r="F279" s="7">
        <f t="shared" si="21"/>
        <v>0</v>
      </c>
    </row>
    <row r="280" spans="1:6" x14ac:dyDescent="0.3">
      <c r="A280" s="68" t="s">
        <v>172</v>
      </c>
      <c r="B280" s="7">
        <f>IF($B$7=A280,$D$34,0)</f>
        <v>0</v>
      </c>
      <c r="C280" s="7">
        <f>IF($B$75=A280,$D$102,0)</f>
        <v>0</v>
      </c>
      <c r="D280" s="7">
        <f>IF($B$143=A280,$D$170,0)</f>
        <v>0</v>
      </c>
      <c r="E280" s="7">
        <f>IF($B$211=A280,$D$238,0)</f>
        <v>0</v>
      </c>
      <c r="F280" s="7">
        <f t="shared" si="21"/>
        <v>0</v>
      </c>
    </row>
    <row r="281" spans="1:6" x14ac:dyDescent="0.3">
      <c r="A281" s="68" t="s">
        <v>173</v>
      </c>
      <c r="B281" s="7">
        <f>IF($B$7=A281,$D$34,0)</f>
        <v>0</v>
      </c>
      <c r="C281" s="7">
        <f>IF($B$75=A281,$D$102,0)</f>
        <v>0</v>
      </c>
      <c r="D281" s="7">
        <f>IF($B$143=A281,$D$170,0)</f>
        <v>0</v>
      </c>
      <c r="E281" s="7">
        <f>IF($B$211=A281,$D$238,0)</f>
        <v>0</v>
      </c>
      <c r="F281" s="7">
        <f t="shared" si="21"/>
        <v>0</v>
      </c>
    </row>
    <row r="282" spans="1:6" x14ac:dyDescent="0.3">
      <c r="A282" s="68" t="s">
        <v>174</v>
      </c>
      <c r="B282" s="7">
        <f>IF($B$7=A282,$D$34,0)</f>
        <v>0</v>
      </c>
      <c r="C282" s="7">
        <f>IF($B$75=A282,$D$102,0)</f>
        <v>0</v>
      </c>
      <c r="D282" s="7">
        <f>IF($B$143=A282,$D$170,0)</f>
        <v>0</v>
      </c>
      <c r="E282" s="7">
        <f>IF($B$211=A282,$D$238,0)</f>
        <v>0</v>
      </c>
      <c r="F282" s="7">
        <f t="shared" si="21"/>
        <v>0</v>
      </c>
    </row>
    <row r="283" spans="1:6" x14ac:dyDescent="0.3">
      <c r="A283" s="68" t="s">
        <v>175</v>
      </c>
      <c r="B283" s="7">
        <f>IF($B$7=A283,$D$34+$E$39,0)</f>
        <v>0</v>
      </c>
      <c r="C283" s="7">
        <f>IF($B$75=A283,$D$102+$E$107,0)</f>
        <v>0</v>
      </c>
      <c r="D283" s="7">
        <f>IF($B$143=A283,$D$170+$E$175,0)</f>
        <v>0</v>
      </c>
      <c r="E283" s="7">
        <f>IF($B$211=A283,$D$238+$E$243,0)</f>
        <v>0</v>
      </c>
      <c r="F283" s="7">
        <f t="shared" si="21"/>
        <v>0</v>
      </c>
    </row>
    <row r="284" spans="1:6" s="34" customFormat="1" x14ac:dyDescent="0.3">
      <c r="A284" s="75" t="s">
        <v>447</v>
      </c>
      <c r="B284" s="7">
        <f t="shared" ref="B284" si="25">IF($B$7=A284,$D$34+$E$39,0)</f>
        <v>0</v>
      </c>
      <c r="C284" s="7">
        <f t="shared" ref="C284" si="26">IF($B$75=A284,$D$102+$E$107,0)</f>
        <v>0</v>
      </c>
      <c r="D284" s="7">
        <f t="shared" ref="D284" si="27">IF($B$143=A284,$D$170+$E$175,0)</f>
        <v>0</v>
      </c>
      <c r="E284" s="7">
        <f t="shared" ref="E284" si="28">IF($B$211=A284,$D$238+$E$243,0)</f>
        <v>0</v>
      </c>
      <c r="F284" s="7">
        <f t="shared" ref="F284" si="29">SUM(B284:E284)</f>
        <v>0</v>
      </c>
    </row>
    <row r="285" spans="1:6" x14ac:dyDescent="0.3">
      <c r="A285" s="68" t="s">
        <v>176</v>
      </c>
      <c r="B285" s="7">
        <f>IF($B$7=A285,$D$34,0)</f>
        <v>0</v>
      </c>
      <c r="C285" s="7">
        <f>IF($B$75=A285,$D$102,0)</f>
        <v>0</v>
      </c>
      <c r="D285" s="7">
        <f>IF($B$143=A285,$D$170,0)</f>
        <v>0</v>
      </c>
      <c r="E285" s="7">
        <f>IF($B$211=A285,$D$238,0)</f>
        <v>0</v>
      </c>
      <c r="F285" s="7">
        <f t="shared" si="21"/>
        <v>0</v>
      </c>
    </row>
    <row r="286" spans="1:6" x14ac:dyDescent="0.3">
      <c r="A286" s="68" t="s">
        <v>177</v>
      </c>
      <c r="B286" s="7">
        <f>IF($B$7=A286,$D$34,0)</f>
        <v>0</v>
      </c>
      <c r="C286" s="7">
        <f>IF($B$75=A286,$D$102,0)</f>
        <v>0</v>
      </c>
      <c r="D286" s="7">
        <f>IF($B$143=A286,$D$170,0)</f>
        <v>0</v>
      </c>
      <c r="E286" s="7">
        <f>IF($B$211=A286,$D$238,0)</f>
        <v>0</v>
      </c>
      <c r="F286" s="7">
        <f t="shared" si="21"/>
        <v>0</v>
      </c>
    </row>
    <row r="287" spans="1:6" x14ac:dyDescent="0.3">
      <c r="A287" s="69" t="s">
        <v>178</v>
      </c>
      <c r="B287" s="7">
        <f>IF($B$7=A287,$D$34,0)</f>
        <v>0</v>
      </c>
      <c r="C287" s="7">
        <f>IF($B$75=A287,$D$102,0)</f>
        <v>0</v>
      </c>
      <c r="D287" s="7">
        <f>IF($B$143=A287,$D$170,0)</f>
        <v>0</v>
      </c>
      <c r="E287" s="7">
        <f>IF($B$211=A287,$D$238,0)</f>
        <v>0</v>
      </c>
      <c r="F287" s="70">
        <f t="shared" si="21"/>
        <v>0</v>
      </c>
    </row>
    <row r="288" spans="1:6" s="34" customFormat="1" x14ac:dyDescent="0.3">
      <c r="A288" s="141" t="s">
        <v>222</v>
      </c>
      <c r="B288" s="142">
        <f>SUM(B277:B287)</f>
        <v>0</v>
      </c>
      <c r="C288" s="142">
        <f>SUM(C277:C287)</f>
        <v>0</v>
      </c>
      <c r="D288" s="142">
        <f>SUM(D277:D287)</f>
        <v>0</v>
      </c>
      <c r="E288" s="142">
        <f>SUM(E277:E287)</f>
        <v>0</v>
      </c>
      <c r="F288" s="142">
        <f>SUM(F277:F287)</f>
        <v>0</v>
      </c>
    </row>
    <row r="289" spans="3:5" x14ac:dyDescent="0.3">
      <c r="C289" s="67"/>
      <c r="D289" s="67"/>
      <c r="E289" s="67"/>
    </row>
  </sheetData>
  <sheetProtection algorithmName="SHA-512" hashValue="gGFXrQfLquft+W/xyhQkaovfjA6ko1hQBBzA1+z+RpbLOGj0sWK0kzYFnR54V/9XyL/eAOrgIOdAl9eUIAeiPA==" saltValue="hVjDokvjQAIR+esmOf2H+A==" spinCount="100000" sheet="1" selectLockedCells="1"/>
  <sortState ref="A140:A149">
    <sortCondition ref="A140"/>
  </sortState>
  <mergeCells count="204">
    <mergeCell ref="B2:F2"/>
    <mergeCell ref="B16:D16"/>
    <mergeCell ref="B27:D27"/>
    <mergeCell ref="B95:D95"/>
    <mergeCell ref="B163:D163"/>
    <mergeCell ref="B63:F63"/>
    <mergeCell ref="B64:C64"/>
    <mergeCell ref="B65:F65"/>
    <mergeCell ref="E64:F64"/>
    <mergeCell ref="B79:C79"/>
    <mergeCell ref="A40:F40"/>
    <mergeCell ref="B41:F41"/>
    <mergeCell ref="B42:F42"/>
    <mergeCell ref="B43:F43"/>
    <mergeCell ref="B8:C8"/>
    <mergeCell ref="B9:C9"/>
    <mergeCell ref="E62:F62"/>
    <mergeCell ref="D141:F141"/>
    <mergeCell ref="D142:F142"/>
    <mergeCell ref="A73:C73"/>
    <mergeCell ref="A5:C5"/>
    <mergeCell ref="B3:F3"/>
    <mergeCell ref="B110:F110"/>
    <mergeCell ref="A74:C74"/>
    <mergeCell ref="B231:D231"/>
    <mergeCell ref="B189:F189"/>
    <mergeCell ref="B190:F190"/>
    <mergeCell ref="B191:F191"/>
    <mergeCell ref="B118:F118"/>
    <mergeCell ref="B119:F119"/>
    <mergeCell ref="A208:F208"/>
    <mergeCell ref="B111:F111"/>
    <mergeCell ref="A117:A125"/>
    <mergeCell ref="A209:C209"/>
    <mergeCell ref="D209:F209"/>
    <mergeCell ref="D210:F210"/>
    <mergeCell ref="B146:C146"/>
    <mergeCell ref="B147:C147"/>
    <mergeCell ref="B143:C143"/>
    <mergeCell ref="B120:F120"/>
    <mergeCell ref="B121:F121"/>
    <mergeCell ref="B122:F122"/>
    <mergeCell ref="B129:F129"/>
    <mergeCell ref="B130:C130"/>
    <mergeCell ref="E130:F130"/>
    <mergeCell ref="A142:C142"/>
    <mergeCell ref="A140:F140"/>
    <mergeCell ref="A141:C141"/>
    <mergeCell ref="B46:F46"/>
    <mergeCell ref="B47:F47"/>
    <mergeCell ref="B48:F48"/>
    <mergeCell ref="B56:F56"/>
    <mergeCell ref="A72:F72"/>
    <mergeCell ref="B68:F68"/>
    <mergeCell ref="B69:F69"/>
    <mergeCell ref="E58:F58"/>
    <mergeCell ref="E60:F60"/>
    <mergeCell ref="B70:F70"/>
    <mergeCell ref="A49:A57"/>
    <mergeCell ref="B55:F55"/>
    <mergeCell ref="B60:C60"/>
    <mergeCell ref="D73:F73"/>
    <mergeCell ref="D74:F74"/>
    <mergeCell ref="B57:F57"/>
    <mergeCell ref="B49:F49"/>
    <mergeCell ref="B247:F247"/>
    <mergeCell ref="B248:F248"/>
    <mergeCell ref="B249:F249"/>
    <mergeCell ref="B250:F250"/>
    <mergeCell ref="B251:F251"/>
    <mergeCell ref="A210:C210"/>
    <mergeCell ref="B211:C211"/>
    <mergeCell ref="B212:C212"/>
    <mergeCell ref="B213:C213"/>
    <mergeCell ref="B214:C214"/>
    <mergeCell ref="B215:C215"/>
    <mergeCell ref="B216:C216"/>
    <mergeCell ref="A185:A193"/>
    <mergeCell ref="B185:F185"/>
    <mergeCell ref="B186:F186"/>
    <mergeCell ref="B187:F187"/>
    <mergeCell ref="B188:F188"/>
    <mergeCell ref="E200:F200"/>
    <mergeCell ref="D215:F216"/>
    <mergeCell ref="B196:C196"/>
    <mergeCell ref="B252:F252"/>
    <mergeCell ref="A244:F244"/>
    <mergeCell ref="B245:F245"/>
    <mergeCell ref="B246:F246"/>
    <mergeCell ref="A253:A261"/>
    <mergeCell ref="B253:F253"/>
    <mergeCell ref="B254:F254"/>
    <mergeCell ref="B255:F255"/>
    <mergeCell ref="B256:F256"/>
    <mergeCell ref="B257:F257"/>
    <mergeCell ref="B258:F258"/>
    <mergeCell ref="B259:F259"/>
    <mergeCell ref="B260:F260"/>
    <mergeCell ref="B261:F261"/>
    <mergeCell ref="B274:F274"/>
    <mergeCell ref="B262:C262"/>
    <mergeCell ref="E262:F262"/>
    <mergeCell ref="B263:F263"/>
    <mergeCell ref="B264:C264"/>
    <mergeCell ref="E264:F264"/>
    <mergeCell ref="B265:F265"/>
    <mergeCell ref="B266:C266"/>
    <mergeCell ref="E266:F266"/>
    <mergeCell ref="B267:F267"/>
    <mergeCell ref="B268:C268"/>
    <mergeCell ref="E268:F268"/>
    <mergeCell ref="B269:F269"/>
    <mergeCell ref="D270:F270"/>
    <mergeCell ref="B271:F271"/>
    <mergeCell ref="B272:F272"/>
    <mergeCell ref="B273:F273"/>
    <mergeCell ref="B179:F179"/>
    <mergeCell ref="B180:F180"/>
    <mergeCell ref="A149:F149"/>
    <mergeCell ref="E196:F196"/>
    <mergeCell ref="B194:C194"/>
    <mergeCell ref="E194:F194"/>
    <mergeCell ref="B195:F195"/>
    <mergeCell ref="B138:F138"/>
    <mergeCell ref="B131:F131"/>
    <mergeCell ref="B132:C132"/>
    <mergeCell ref="E132:F132"/>
    <mergeCell ref="A176:F176"/>
    <mergeCell ref="B192:F192"/>
    <mergeCell ref="B193:F193"/>
    <mergeCell ref="B177:F177"/>
    <mergeCell ref="B137:F137"/>
    <mergeCell ref="B116:F116"/>
    <mergeCell ref="B117:F117"/>
    <mergeCell ref="B80:C80"/>
    <mergeCell ref="A217:F217"/>
    <mergeCell ref="B148:C148"/>
    <mergeCell ref="B144:C144"/>
    <mergeCell ref="B145:C145"/>
    <mergeCell ref="D147:F148"/>
    <mergeCell ref="B206:F206"/>
    <mergeCell ref="B201:F201"/>
    <mergeCell ref="D202:F202"/>
    <mergeCell ref="B203:F203"/>
    <mergeCell ref="B204:F204"/>
    <mergeCell ref="B205:F205"/>
    <mergeCell ref="B197:F197"/>
    <mergeCell ref="B198:C198"/>
    <mergeCell ref="E198:F198"/>
    <mergeCell ref="B199:F199"/>
    <mergeCell ref="B200:C200"/>
    <mergeCell ref="B181:F181"/>
    <mergeCell ref="B182:F182"/>
    <mergeCell ref="B183:F183"/>
    <mergeCell ref="B184:F184"/>
    <mergeCell ref="B178:F178"/>
    <mergeCell ref="B75:C75"/>
    <mergeCell ref="B76:C76"/>
    <mergeCell ref="D79:F80"/>
    <mergeCell ref="B114:F114"/>
    <mergeCell ref="B115:F115"/>
    <mergeCell ref="A108:F108"/>
    <mergeCell ref="B109:F109"/>
    <mergeCell ref="B135:F135"/>
    <mergeCell ref="B136:F136"/>
    <mergeCell ref="B133:F133"/>
    <mergeCell ref="D134:F134"/>
    <mergeCell ref="A81:F81"/>
    <mergeCell ref="B77:C77"/>
    <mergeCell ref="B78:C78"/>
    <mergeCell ref="B127:F127"/>
    <mergeCell ref="B128:C128"/>
    <mergeCell ref="E128:F128"/>
    <mergeCell ref="B123:F123"/>
    <mergeCell ref="B124:F124"/>
    <mergeCell ref="B125:F125"/>
    <mergeCell ref="B126:C126"/>
    <mergeCell ref="E126:F126"/>
    <mergeCell ref="B112:F112"/>
    <mergeCell ref="B113:F113"/>
    <mergeCell ref="B1:F1"/>
    <mergeCell ref="B52:F52"/>
    <mergeCell ref="B53:F53"/>
    <mergeCell ref="B54:F54"/>
    <mergeCell ref="B67:F67"/>
    <mergeCell ref="D66:F66"/>
    <mergeCell ref="B58:C58"/>
    <mergeCell ref="B59:F59"/>
    <mergeCell ref="B61:F61"/>
    <mergeCell ref="B62:C62"/>
    <mergeCell ref="D5:F5"/>
    <mergeCell ref="D6:F6"/>
    <mergeCell ref="B44:F44"/>
    <mergeCell ref="B45:F45"/>
    <mergeCell ref="A13:F13"/>
    <mergeCell ref="B50:F50"/>
    <mergeCell ref="B51:F51"/>
    <mergeCell ref="B10:C10"/>
    <mergeCell ref="A6:C6"/>
    <mergeCell ref="B11:C11"/>
    <mergeCell ref="B12:C12"/>
    <mergeCell ref="B7:C7"/>
    <mergeCell ref="D11:F12"/>
    <mergeCell ref="B4:F4"/>
  </mergeCells>
  <dataValidations xWindow="666" yWindow="534" count="11">
    <dataValidation type="whole" operator="greaterThanOrEqual" allowBlank="1" showInputMessage="1" showErrorMessage="1" error="Number of acres must be numeric, greater than zero, and a whole number or blank" prompt="Enter the number of acres" sqref="B213 B9:C9 B77:C77 B145:C145">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formula1>0</formula1>
    </dataValidation>
    <dataValidation type="whole" operator="greaterThanOrEqual" allowBlank="1" showInputMessage="1" showErrorMessage="1" error="The number of plots must be a whole number greater than or equal to zero " prompt="Enter the total number of plots " sqref="B10 B78 B146 B214">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formula1>"Yes, No"</formula1>
    </dataValidation>
    <dataValidation type="list" allowBlank="1" showInputMessage="1" showErrorMessage="1" error="Select a harvest method from the list" prompt="Select the harvest method from the list" sqref="B66 B134 B202 B270">
      <formula1>"Combine,Hand,Other"</formula1>
    </dataValidation>
    <dataValidation type="list" showInputMessage="1" showErrorMessage="1" error="Select a research station from the list" prompt="Select a research station" sqref="B143 B211:C211 B75:C75 B7">
      <formula1>Stations</formula1>
    </dataValidation>
    <dataValidation type="list" showInputMessage="1" showErrorMessage="1" error="A commodity must be selected from the list." prompt="Select a crop from the list" sqref="B8:C8 B144:C144 B212:C212 B76:C76">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or RIRE Stuttgard or an error message will display." sqref="E8:E10 E76:E78 E144:E146 E212:E214">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or RIRE Stuttgard or an error message will display." sqref="F8:F10 F76:F78 F144:F146 F212:F214">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3.0&amp;CPage &amp;P of &amp;N&amp;R2020/2021</oddFooter>
  </headerFooter>
  <rowBreaks count="8" manualBreakCount="8">
    <brk id="39" max="5" man="1"/>
    <brk id="71" max="5" man="1"/>
    <brk id="107" max="5" man="1"/>
    <brk id="139" max="5" man="1"/>
    <brk id="175" max="5" man="1"/>
    <brk id="207" max="5" man="1"/>
    <brk id="243" max="5" man="1"/>
    <brk id="274" max="5" man="1"/>
  </rowBreaks>
  <ignoredErrors>
    <ignoredError sqref="D15 B16 D34 B84 D83 D170 D238 D102 D219 B95 B220 B152 D151 B27 B163 B231"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N289"/>
  <sheetViews>
    <sheetView showGridLines="0" zoomScaleNormal="100" workbookViewId="0">
      <selection activeCell="B7" sqref="B7:C7"/>
    </sheetView>
  </sheetViews>
  <sheetFormatPr defaultColWidth="9" defaultRowHeight="15.6" x14ac:dyDescent="0.3"/>
  <cols>
    <col min="1" max="1" width="30.8984375" style="34" customWidth="1"/>
    <col min="2" max="3" width="13.59765625" style="34" customWidth="1"/>
    <col min="4" max="4" width="15.59765625" style="34" customWidth="1"/>
    <col min="5" max="6" width="13.59765625" style="34" customWidth="1"/>
    <col min="7" max="7" width="10.59765625" style="34" customWidth="1"/>
    <col min="8" max="8" width="9.3984375" style="34" customWidth="1"/>
    <col min="9" max="16384" width="9" style="34"/>
  </cols>
  <sheetData>
    <row r="1" spans="1:14" s="16" customFormat="1" ht="20.100000000000001" customHeight="1" x14ac:dyDescent="0.3">
      <c r="A1" s="143">
        <f>Lead_Project_Investigator</f>
        <v>0</v>
      </c>
      <c r="B1" s="239">
        <f>Project_Title</f>
        <v>0</v>
      </c>
      <c r="C1" s="239"/>
      <c r="D1" s="239"/>
      <c r="E1" s="239"/>
      <c r="F1" s="239"/>
      <c r="G1" s="125"/>
      <c r="H1" s="125"/>
      <c r="I1" s="125"/>
      <c r="J1" s="125"/>
    </row>
    <row r="2" spans="1:14" ht="20.100000000000001" customHeight="1" x14ac:dyDescent="0.3">
      <c r="A2" s="167"/>
      <c r="B2" s="305" t="s">
        <v>214</v>
      </c>
      <c r="C2" s="306"/>
      <c r="D2" s="306"/>
      <c r="E2" s="306"/>
      <c r="F2" s="307"/>
    </row>
    <row r="3" spans="1:14" ht="20.100000000000001" customHeight="1" x14ac:dyDescent="0.3">
      <c r="A3" s="161" t="s">
        <v>204</v>
      </c>
      <c r="B3" s="315">
        <f>'Promotion Board Budget'!E3</f>
        <v>0</v>
      </c>
      <c r="C3" s="316"/>
      <c r="D3" s="316"/>
      <c r="E3" s="316"/>
      <c r="F3" s="317"/>
      <c r="G3" s="160"/>
    </row>
    <row r="4" spans="1:14" ht="20.100000000000001" customHeight="1" x14ac:dyDescent="0.3">
      <c r="A4" s="167"/>
      <c r="B4" s="269" t="s">
        <v>210</v>
      </c>
      <c r="C4" s="270"/>
      <c r="D4" s="270"/>
      <c r="E4" s="270"/>
      <c r="F4" s="271"/>
    </row>
    <row r="5" spans="1:14" ht="56.1" customHeight="1" x14ac:dyDescent="0.3">
      <c r="A5" s="312"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13"/>
      <c r="C5" s="314"/>
      <c r="D5" s="251"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5" s="252"/>
      <c r="F5" s="253"/>
    </row>
    <row r="6" spans="1:14" x14ac:dyDescent="0.3">
      <c r="A6" s="261" t="s">
        <v>208</v>
      </c>
      <c r="B6" s="261"/>
      <c r="C6" s="261"/>
      <c r="D6" s="254" t="s">
        <v>456</v>
      </c>
      <c r="E6" s="255"/>
      <c r="F6" s="256"/>
    </row>
    <row r="7" spans="1:14" ht="15.75" customHeight="1" x14ac:dyDescent="0.3">
      <c r="A7" s="58" t="s">
        <v>182</v>
      </c>
      <c r="B7" s="223"/>
      <c r="C7" s="262"/>
      <c r="D7" s="73" t="s">
        <v>455</v>
      </c>
      <c r="E7" s="73" t="s">
        <v>451</v>
      </c>
      <c r="F7" s="73" t="s">
        <v>452</v>
      </c>
    </row>
    <row r="8" spans="1:14" x14ac:dyDescent="0.3">
      <c r="A8" s="58" t="s">
        <v>201</v>
      </c>
      <c r="B8" s="222"/>
      <c r="C8" s="222"/>
      <c r="D8" s="73" t="s">
        <v>448</v>
      </c>
      <c r="E8" s="156"/>
      <c r="F8" s="157"/>
      <c r="G8" s="113" t="str">
        <f>IF(AND(E8+F8&gt;0,B7&lt;&gt;"RIRE, Stuttgart",B7&lt;&gt;"Rosen Center",B7&lt;&gt;"Lonoke Ag Center"),"* Error - facility not available at selected Research Station","")</f>
        <v/>
      </c>
    </row>
    <row r="9" spans="1:14" s="1" customFormat="1" x14ac:dyDescent="0.3">
      <c r="A9" s="58" t="s">
        <v>183</v>
      </c>
      <c r="B9" s="260"/>
      <c r="C9" s="260"/>
      <c r="D9" s="73" t="s">
        <v>449</v>
      </c>
      <c r="E9" s="156"/>
      <c r="F9" s="158"/>
      <c r="G9" s="113" t="str">
        <f>IF(AND(E9+F9&gt;0,B7&lt;&gt;"Rosen Center",B7&lt;&gt;"RIRE, Stuttgart"),"* Error - facility not available at selected Research Station","")</f>
        <v/>
      </c>
      <c r="H9" s="34"/>
      <c r="I9" s="34"/>
      <c r="J9" s="34"/>
      <c r="K9" s="34"/>
      <c r="L9" s="34"/>
      <c r="M9" s="34"/>
    </row>
    <row r="10" spans="1:14" s="1" customFormat="1" x14ac:dyDescent="0.3">
      <c r="A10" s="58" t="s">
        <v>184</v>
      </c>
      <c r="B10" s="260"/>
      <c r="C10" s="260"/>
      <c r="D10" s="73" t="s">
        <v>450</v>
      </c>
      <c r="E10" s="156"/>
      <c r="F10" s="158"/>
      <c r="G10" s="113" t="str">
        <f>IF(AND(E10+F10&gt;0,B7&lt;&gt;"Rosen Center"),"* Error - facility not available at selected Research Station","")</f>
        <v/>
      </c>
      <c r="H10" s="34"/>
      <c r="I10" s="34"/>
      <c r="J10" s="34"/>
      <c r="K10" s="34"/>
      <c r="L10" s="34"/>
      <c r="M10" s="34"/>
    </row>
    <row r="11" spans="1:14" s="1" customFormat="1" ht="15.75" customHeight="1" x14ac:dyDescent="0.3">
      <c r="A11" s="58" t="s">
        <v>185</v>
      </c>
      <c r="B11" s="260"/>
      <c r="C11" s="260"/>
      <c r="D11" s="263" t="str">
        <f>IF(OR(G8="* Error - facility not available at selected Research Station",G9="* Error - facility not available at selected Research Station",G10="* Error - facility not available at selected Research Station"),"See error message(s)","")</f>
        <v/>
      </c>
      <c r="E11" s="264"/>
      <c r="F11" s="265"/>
      <c r="G11" s="34"/>
      <c r="H11" s="34"/>
      <c r="I11" s="34"/>
      <c r="J11" s="34"/>
      <c r="K11" s="34"/>
      <c r="L11" s="34"/>
      <c r="M11" s="34"/>
    </row>
    <row r="12" spans="1:14" s="1" customFormat="1" ht="15.75" customHeight="1" x14ac:dyDescent="0.3">
      <c r="A12" s="58" t="s">
        <v>186</v>
      </c>
      <c r="B12" s="260"/>
      <c r="C12" s="260"/>
      <c r="D12" s="266"/>
      <c r="E12" s="267"/>
      <c r="F12" s="268"/>
      <c r="H12" s="34"/>
      <c r="I12" s="34"/>
      <c r="J12" s="34"/>
      <c r="K12" s="34"/>
      <c r="L12" s="34"/>
      <c r="M12" s="34"/>
    </row>
    <row r="13" spans="1:14" s="1" customFormat="1" ht="75.75" customHeight="1" x14ac:dyDescent="0.45">
      <c r="A13" s="259" t="s">
        <v>335</v>
      </c>
      <c r="B13" s="259"/>
      <c r="C13" s="259"/>
      <c r="D13" s="259"/>
      <c r="E13" s="259"/>
      <c r="F13" s="259"/>
      <c r="G13" s="34"/>
      <c r="H13" s="34"/>
      <c r="I13" s="34"/>
      <c r="J13" s="34"/>
      <c r="K13" s="34"/>
      <c r="L13" s="34"/>
      <c r="M13" s="34"/>
      <c r="N13" s="59"/>
    </row>
    <row r="14" spans="1:14" ht="31.2" x14ac:dyDescent="0.3">
      <c r="A14" s="61" t="s">
        <v>11</v>
      </c>
      <c r="B14" s="61" t="s">
        <v>114</v>
      </c>
      <c r="C14" s="93" t="s">
        <v>141</v>
      </c>
      <c r="D14" s="61" t="s">
        <v>132</v>
      </c>
      <c r="N14" s="60"/>
    </row>
    <row r="15" spans="1:14" x14ac:dyDescent="0.3">
      <c r="A15" s="62" t="s">
        <v>113</v>
      </c>
      <c r="B15" s="63" t="e">
        <f>IF(OR(B7="Rosen Center",B7="Lonoke Ag Center"),0,IF(B7&lt;&gt;"RIRE, Stuttgart",HLOOKUP(B8,Fixed_Rate_Optional,2,FALSE)*B9,100*B9))</f>
        <v>#N/A</v>
      </c>
      <c r="C15" s="64" t="s">
        <v>112</v>
      </c>
      <c r="D15" s="118" t="e">
        <f t="shared" ref="D15:D33" si="0">IF(C15="Yes",B15,0)</f>
        <v>#N/A</v>
      </c>
    </row>
    <row r="16" spans="1:14" x14ac:dyDescent="0.3">
      <c r="A16" s="28" t="s">
        <v>140</v>
      </c>
      <c r="B16" s="308"/>
      <c r="C16" s="309"/>
      <c r="D16" s="310"/>
      <c r="F16" s="146"/>
    </row>
    <row r="17" spans="1:6" x14ac:dyDescent="0.3">
      <c r="A17" s="62" t="s">
        <v>5</v>
      </c>
      <c r="B17" s="65" t="e">
        <f t="shared" ref="B17:B25" si="1">IF(OR($B$7="Rosen Center",$B$7="Lonoke Ag Center"),0,INDEX(Fixed_Rate_Optional,MATCH(A17,Expense_Item,0),MATCH($B$8,Commodity_Item,0))*$B$9)</f>
        <v>#N/A</v>
      </c>
      <c r="C17" s="66"/>
      <c r="D17" s="63">
        <f t="shared" si="0"/>
        <v>0</v>
      </c>
      <c r="F17" s="146"/>
    </row>
    <row r="18" spans="1:6" x14ac:dyDescent="0.3">
      <c r="A18" s="62" t="s">
        <v>6</v>
      </c>
      <c r="B18" s="65" t="e">
        <f t="shared" si="1"/>
        <v>#N/A</v>
      </c>
      <c r="C18" s="66"/>
      <c r="D18" s="63">
        <f t="shared" si="0"/>
        <v>0</v>
      </c>
    </row>
    <row r="19" spans="1:6" x14ac:dyDescent="0.3">
      <c r="A19" s="62" t="s">
        <v>7</v>
      </c>
      <c r="B19" s="65" t="e">
        <f t="shared" si="1"/>
        <v>#N/A</v>
      </c>
      <c r="C19" s="66"/>
      <c r="D19" s="63">
        <f t="shared" si="0"/>
        <v>0</v>
      </c>
    </row>
    <row r="20" spans="1:6" x14ac:dyDescent="0.3">
      <c r="A20" s="62" t="s">
        <v>8</v>
      </c>
      <c r="B20" s="65" t="e">
        <f t="shared" si="1"/>
        <v>#N/A</v>
      </c>
      <c r="C20" s="66"/>
      <c r="D20" s="63">
        <f t="shared" si="0"/>
        <v>0</v>
      </c>
    </row>
    <row r="21" spans="1:6" x14ac:dyDescent="0.3">
      <c r="A21" s="62" t="s">
        <v>9</v>
      </c>
      <c r="B21" s="65" t="e">
        <f t="shared" si="1"/>
        <v>#N/A</v>
      </c>
      <c r="C21" s="66"/>
      <c r="D21" s="63">
        <f t="shared" si="0"/>
        <v>0</v>
      </c>
    </row>
    <row r="22" spans="1:6" x14ac:dyDescent="0.3">
      <c r="A22" s="62" t="s">
        <v>10</v>
      </c>
      <c r="B22" s="65" t="e">
        <f t="shared" si="1"/>
        <v>#N/A</v>
      </c>
      <c r="C22" s="66"/>
      <c r="D22" s="63">
        <f t="shared" si="0"/>
        <v>0</v>
      </c>
    </row>
    <row r="23" spans="1:6" x14ac:dyDescent="0.3">
      <c r="A23" s="62" t="s">
        <v>13</v>
      </c>
      <c r="B23" s="65" t="e">
        <f t="shared" si="1"/>
        <v>#N/A</v>
      </c>
      <c r="C23" s="66"/>
      <c r="D23" s="63">
        <f t="shared" si="0"/>
        <v>0</v>
      </c>
    </row>
    <row r="24" spans="1:6" x14ac:dyDescent="0.3">
      <c r="A24" s="62" t="s">
        <v>14</v>
      </c>
      <c r="B24" s="65" t="e">
        <f t="shared" si="1"/>
        <v>#N/A</v>
      </c>
      <c r="C24" s="66"/>
      <c r="D24" s="63">
        <f t="shared" si="0"/>
        <v>0</v>
      </c>
    </row>
    <row r="25" spans="1:6" x14ac:dyDescent="0.3">
      <c r="A25" s="62" t="s">
        <v>15</v>
      </c>
      <c r="B25" s="65" t="e">
        <f t="shared" si="1"/>
        <v>#N/A</v>
      </c>
      <c r="C25" s="66"/>
      <c r="D25" s="63">
        <f t="shared" si="0"/>
        <v>0</v>
      </c>
    </row>
    <row r="26" spans="1:6" x14ac:dyDescent="0.3">
      <c r="A26" s="62" t="s">
        <v>16</v>
      </c>
      <c r="B26" s="12" t="e">
        <f>IF(OR(B7="Rosen Center",B7="Lonoke Ag Center"),0,INDEX(Fixed_Rate_Optional,MATCH(A26,Expense_Item,0),MATCH(B8,Commodity_Item,0))*B11*B12)</f>
        <v>#N/A</v>
      </c>
      <c r="C26" s="66"/>
      <c r="D26" s="63">
        <f t="shared" si="0"/>
        <v>0</v>
      </c>
    </row>
    <row r="27" spans="1:6" x14ac:dyDescent="0.3">
      <c r="A27" s="28" t="s">
        <v>133</v>
      </c>
      <c r="B27" s="308"/>
      <c r="C27" s="309"/>
      <c r="D27" s="310"/>
    </row>
    <row r="28" spans="1:6" x14ac:dyDescent="0.3">
      <c r="A28" s="62" t="s">
        <v>134</v>
      </c>
      <c r="B28" s="65" t="e">
        <f t="shared" ref="B28:B33" si="2">IF(OR($B$7="Rosen Center",$B$7="Lonoke Ag Center"),0,INDEX(Fixed_Rate_Optional,MATCH(A28,Expense_Item,0),MATCH($B$8,Commodity_Item,0))*$B$9)</f>
        <v>#N/A</v>
      </c>
      <c r="C28" s="66"/>
      <c r="D28" s="63">
        <f t="shared" si="0"/>
        <v>0</v>
      </c>
    </row>
    <row r="29" spans="1:6" x14ac:dyDescent="0.3">
      <c r="A29" s="62" t="s">
        <v>135</v>
      </c>
      <c r="B29" s="65" t="e">
        <f t="shared" si="2"/>
        <v>#N/A</v>
      </c>
      <c r="C29" s="66"/>
      <c r="D29" s="63">
        <f t="shared" si="0"/>
        <v>0</v>
      </c>
    </row>
    <row r="30" spans="1:6" x14ac:dyDescent="0.3">
      <c r="A30" s="62" t="s">
        <v>136</v>
      </c>
      <c r="B30" s="65" t="e">
        <f t="shared" si="2"/>
        <v>#N/A</v>
      </c>
      <c r="C30" s="66"/>
      <c r="D30" s="63">
        <f t="shared" si="0"/>
        <v>0</v>
      </c>
    </row>
    <row r="31" spans="1:6" x14ac:dyDescent="0.3">
      <c r="A31" s="62" t="s">
        <v>137</v>
      </c>
      <c r="B31" s="65" t="e">
        <f t="shared" si="2"/>
        <v>#N/A</v>
      </c>
      <c r="C31" s="66"/>
      <c r="D31" s="63">
        <f t="shared" si="0"/>
        <v>0</v>
      </c>
    </row>
    <row r="32" spans="1:6" x14ac:dyDescent="0.3">
      <c r="A32" s="62" t="s">
        <v>138</v>
      </c>
      <c r="B32" s="65" t="e">
        <f t="shared" si="2"/>
        <v>#N/A</v>
      </c>
      <c r="C32" s="66"/>
      <c r="D32" s="63">
        <f t="shared" si="0"/>
        <v>0</v>
      </c>
    </row>
    <row r="33" spans="1:13" x14ac:dyDescent="0.3">
      <c r="A33" s="62" t="s">
        <v>139</v>
      </c>
      <c r="B33" s="65" t="e">
        <f t="shared" si="2"/>
        <v>#N/A</v>
      </c>
      <c r="C33" s="66"/>
      <c r="D33" s="63">
        <f t="shared" si="0"/>
        <v>0</v>
      </c>
    </row>
    <row r="34" spans="1:13" s="21" customFormat="1" ht="15.75" customHeight="1" x14ac:dyDescent="0.3">
      <c r="A34" s="28" t="s">
        <v>111</v>
      </c>
      <c r="B34" s="121"/>
      <c r="C34" s="78"/>
      <c r="D34" s="92" t="e">
        <f>SUM(D15,D17:D26,D28:D33)</f>
        <v>#N/A</v>
      </c>
      <c r="E34" s="34"/>
      <c r="G34" s="34"/>
      <c r="H34" s="34"/>
      <c r="I34" s="34"/>
      <c r="J34" s="34"/>
      <c r="K34" s="34"/>
      <c r="L34" s="34"/>
      <c r="M34" s="34"/>
    </row>
    <row r="35" spans="1:13" s="21" customFormat="1" ht="15.75" customHeight="1" x14ac:dyDescent="0.3">
      <c r="A35" s="28" t="s">
        <v>460</v>
      </c>
      <c r="B35" s="29" t="s">
        <v>464</v>
      </c>
      <c r="C35" s="29" t="s">
        <v>466</v>
      </c>
      <c r="D35" s="29" t="s">
        <v>465</v>
      </c>
      <c r="E35" s="29" t="s">
        <v>111</v>
      </c>
      <c r="F35" s="34"/>
      <c r="G35" s="34"/>
      <c r="H35" s="34"/>
      <c r="I35" s="34"/>
      <c r="J35" s="34"/>
      <c r="K35" s="34"/>
      <c r="L35" s="34"/>
    </row>
    <row r="36" spans="1:13" s="21" customFormat="1" ht="15.75" customHeight="1" x14ac:dyDescent="0.3">
      <c r="A36" s="68" t="s">
        <v>457</v>
      </c>
      <c r="B36" s="132">
        <f>Greenhouse_Rate</f>
        <v>1</v>
      </c>
      <c r="C36" s="137">
        <f>IF(OR(B7="Lonoke Ag Center",B7="RIRE, Stuttgart",B7="Rosen Center"),E8,0)</f>
        <v>0</v>
      </c>
      <c r="D36" s="136">
        <f>IF(OR(B7="Lonoke Ag Center",B7="RIRE, Stuttgart",B7="Rosen Center"),F8,0)</f>
        <v>0</v>
      </c>
      <c r="E36" s="135">
        <f>C36*D36*B36</f>
        <v>0</v>
      </c>
      <c r="F36" s="34"/>
      <c r="G36" s="34"/>
      <c r="H36" s="34"/>
      <c r="I36" s="34"/>
      <c r="J36" s="34"/>
      <c r="K36" s="34"/>
      <c r="L36" s="34"/>
    </row>
    <row r="37" spans="1:13" s="21" customFormat="1" ht="15.75" customHeight="1" x14ac:dyDescent="0.3">
      <c r="A37" s="68" t="s">
        <v>458</v>
      </c>
      <c r="B37" s="132">
        <f>Growth_Chamber_Rate</f>
        <v>6.8</v>
      </c>
      <c r="C37" s="137">
        <f>IF(OR(B7="RIRE, Stuttgart",B7="Rosen Center"),E9,0)</f>
        <v>0</v>
      </c>
      <c r="D37" s="136">
        <f>IF(OR(B7="RIRE, Stuttgart",B7="Rosen Center"),F9,0)</f>
        <v>0</v>
      </c>
      <c r="E37" s="135">
        <f>C37*D37*B37</f>
        <v>0</v>
      </c>
      <c r="F37" s="34"/>
      <c r="G37" s="34"/>
      <c r="H37" s="34"/>
      <c r="I37" s="34"/>
      <c r="J37" s="34"/>
      <c r="K37" s="34"/>
      <c r="L37" s="34"/>
    </row>
    <row r="38" spans="1:13" s="21" customFormat="1" ht="15.75" customHeight="1" x14ac:dyDescent="0.3">
      <c r="A38" s="68" t="s">
        <v>459</v>
      </c>
      <c r="B38" s="132">
        <f>Quarantine_Rate</f>
        <v>1.1000000000000001</v>
      </c>
      <c r="C38" s="137">
        <f>IF(B7="Rosen Center",E10,0)</f>
        <v>0</v>
      </c>
      <c r="D38" s="136">
        <f>IF(B7="Rosen Center",F10,0)</f>
        <v>0</v>
      </c>
      <c r="E38" s="135">
        <f>C38*D38*B38</f>
        <v>0</v>
      </c>
      <c r="F38" s="34"/>
      <c r="G38" s="34"/>
      <c r="H38" s="34"/>
      <c r="I38" s="34"/>
      <c r="J38" s="34"/>
      <c r="K38" s="34"/>
      <c r="L38" s="34"/>
    </row>
    <row r="39" spans="1:13" s="21" customFormat="1" ht="15.75" customHeight="1" x14ac:dyDescent="0.3">
      <c r="A39" s="130" t="s">
        <v>111</v>
      </c>
      <c r="B39" s="144"/>
      <c r="C39" s="137">
        <f>SUM(C36:C38)</f>
        <v>0</v>
      </c>
      <c r="D39" s="136">
        <f>SUM(D36:D38)</f>
        <v>0</v>
      </c>
      <c r="E39" s="147">
        <f>SUM(E36:E38)</f>
        <v>0</v>
      </c>
      <c r="F39" s="34"/>
      <c r="G39" s="34"/>
      <c r="H39" s="34"/>
      <c r="I39" s="34"/>
      <c r="J39" s="34"/>
      <c r="K39" s="34"/>
      <c r="L39" s="34"/>
    </row>
    <row r="40" spans="1:13" s="21" customFormat="1" ht="15.75" customHeight="1" x14ac:dyDescent="0.3">
      <c r="A40" s="254" t="s">
        <v>229</v>
      </c>
      <c r="B40" s="255"/>
      <c r="C40" s="255"/>
      <c r="D40" s="255"/>
      <c r="E40" s="255"/>
      <c r="F40" s="256"/>
      <c r="G40" s="34"/>
      <c r="H40" s="34"/>
      <c r="I40" s="34"/>
      <c r="J40" s="34"/>
      <c r="K40" s="34"/>
      <c r="L40" s="34"/>
      <c r="M40" s="34"/>
    </row>
    <row r="41" spans="1:13" s="21" customFormat="1" x14ac:dyDescent="0.3">
      <c r="A41" s="68" t="s">
        <v>115</v>
      </c>
      <c r="B41" s="278"/>
      <c r="C41" s="278"/>
      <c r="D41" s="278"/>
      <c r="E41" s="278"/>
      <c r="F41" s="278"/>
      <c r="G41" s="34"/>
      <c r="H41" s="34"/>
      <c r="I41" s="34"/>
      <c r="J41" s="34"/>
      <c r="K41" s="34"/>
      <c r="L41" s="34"/>
      <c r="M41" s="34"/>
    </row>
    <row r="42" spans="1:13" s="21" customFormat="1" x14ac:dyDescent="0.3">
      <c r="A42" s="68" t="s">
        <v>116</v>
      </c>
      <c r="B42" s="311"/>
      <c r="C42" s="289"/>
      <c r="D42" s="289"/>
      <c r="E42" s="289"/>
      <c r="F42" s="289"/>
      <c r="G42" s="34"/>
      <c r="H42" s="34"/>
      <c r="I42" s="34"/>
      <c r="J42" s="34"/>
      <c r="K42" s="34"/>
      <c r="L42" s="34"/>
      <c r="M42" s="34"/>
    </row>
    <row r="43" spans="1:13" s="21" customFormat="1" x14ac:dyDescent="0.3">
      <c r="A43" s="68" t="s">
        <v>117</v>
      </c>
      <c r="B43" s="257"/>
      <c r="C43" s="258"/>
      <c r="D43" s="258"/>
      <c r="E43" s="258"/>
      <c r="F43" s="258"/>
      <c r="G43" s="34"/>
      <c r="H43" s="34"/>
      <c r="I43" s="34"/>
      <c r="J43" s="34"/>
      <c r="K43" s="34"/>
      <c r="L43" s="34"/>
      <c r="M43" s="34"/>
    </row>
    <row r="44" spans="1:13" s="21" customFormat="1" x14ac:dyDescent="0.3">
      <c r="A44" s="68" t="s">
        <v>228</v>
      </c>
      <c r="B44" s="257"/>
      <c r="C44" s="258"/>
      <c r="D44" s="258"/>
      <c r="E44" s="258"/>
      <c r="F44" s="258"/>
      <c r="G44" s="34"/>
      <c r="H44" s="34"/>
      <c r="I44" s="34"/>
      <c r="J44" s="34"/>
      <c r="K44" s="34"/>
      <c r="L44" s="34"/>
      <c r="M44" s="34"/>
    </row>
    <row r="45" spans="1:13" s="21" customFormat="1" x14ac:dyDescent="0.3">
      <c r="A45" s="68" t="s">
        <v>118</v>
      </c>
      <c r="B45" s="257"/>
      <c r="C45" s="258"/>
      <c r="D45" s="258"/>
      <c r="E45" s="258"/>
      <c r="F45" s="258"/>
      <c r="G45" s="34"/>
      <c r="H45" s="34"/>
      <c r="I45" s="34"/>
      <c r="J45" s="34"/>
      <c r="K45" s="34"/>
      <c r="L45" s="34"/>
      <c r="M45" s="34"/>
    </row>
    <row r="46" spans="1:13" s="21" customFormat="1" x14ac:dyDescent="0.3">
      <c r="A46" s="68" t="s">
        <v>126</v>
      </c>
      <c r="B46" s="277"/>
      <c r="C46" s="277"/>
      <c r="D46" s="277"/>
      <c r="E46" s="277"/>
      <c r="F46" s="277"/>
      <c r="G46" s="34"/>
      <c r="H46" s="34"/>
      <c r="I46" s="34"/>
      <c r="J46" s="34"/>
      <c r="K46" s="34"/>
      <c r="L46" s="34"/>
      <c r="M46" s="34"/>
    </row>
    <row r="47" spans="1:13" s="21" customFormat="1" x14ac:dyDescent="0.3">
      <c r="A47" s="68" t="s">
        <v>127</v>
      </c>
      <c r="B47" s="277"/>
      <c r="C47" s="277"/>
      <c r="D47" s="277"/>
      <c r="E47" s="277"/>
      <c r="F47" s="277"/>
      <c r="G47" s="34"/>
      <c r="H47" s="34"/>
      <c r="I47" s="34"/>
      <c r="J47" s="34"/>
      <c r="K47" s="34"/>
      <c r="L47" s="34"/>
      <c r="M47" s="34"/>
    </row>
    <row r="48" spans="1:13" s="21" customFormat="1" x14ac:dyDescent="0.3">
      <c r="A48" s="68" t="s">
        <v>119</v>
      </c>
      <c r="B48" s="277"/>
      <c r="C48" s="277"/>
      <c r="D48" s="277"/>
      <c r="E48" s="277"/>
      <c r="F48" s="277"/>
      <c r="G48" s="34"/>
      <c r="H48" s="34"/>
      <c r="I48" s="34"/>
      <c r="J48" s="34"/>
      <c r="K48" s="34"/>
      <c r="L48" s="34"/>
      <c r="M48" s="34"/>
    </row>
    <row r="49" spans="1:13" s="21" customFormat="1" x14ac:dyDescent="0.3">
      <c r="A49" s="290" t="s">
        <v>120</v>
      </c>
      <c r="B49" s="286"/>
      <c r="C49" s="287"/>
      <c r="D49" s="287"/>
      <c r="E49" s="287"/>
      <c r="F49" s="288"/>
      <c r="G49" s="34"/>
      <c r="H49" s="34"/>
      <c r="I49" s="34"/>
      <c r="J49" s="34"/>
      <c r="K49" s="34"/>
      <c r="L49" s="34"/>
      <c r="M49" s="34"/>
    </row>
    <row r="50" spans="1:13" s="21" customFormat="1" x14ac:dyDescent="0.3">
      <c r="A50" s="291"/>
      <c r="B50" s="240"/>
      <c r="C50" s="241"/>
      <c r="D50" s="241"/>
      <c r="E50" s="241"/>
      <c r="F50" s="242"/>
      <c r="G50" s="34"/>
      <c r="H50" s="34"/>
      <c r="I50" s="34"/>
      <c r="J50" s="34"/>
      <c r="K50" s="34"/>
      <c r="L50" s="34"/>
      <c r="M50" s="34"/>
    </row>
    <row r="51" spans="1:13" s="21" customFormat="1" x14ac:dyDescent="0.3">
      <c r="A51" s="291"/>
      <c r="B51" s="240"/>
      <c r="C51" s="241"/>
      <c r="D51" s="241"/>
      <c r="E51" s="241"/>
      <c r="F51" s="242"/>
      <c r="G51" s="34"/>
      <c r="H51" s="34"/>
      <c r="I51" s="34"/>
      <c r="J51" s="34"/>
      <c r="K51" s="34"/>
      <c r="L51" s="34"/>
      <c r="M51" s="34"/>
    </row>
    <row r="52" spans="1:13" s="21" customFormat="1" x14ac:dyDescent="0.3">
      <c r="A52" s="291"/>
      <c r="B52" s="240"/>
      <c r="C52" s="241"/>
      <c r="D52" s="241"/>
      <c r="E52" s="241"/>
      <c r="F52" s="242"/>
      <c r="G52" s="34"/>
      <c r="H52" s="34"/>
      <c r="I52" s="34"/>
      <c r="J52" s="34"/>
      <c r="K52" s="34"/>
      <c r="L52" s="34"/>
      <c r="M52" s="34"/>
    </row>
    <row r="53" spans="1:13" s="21" customFormat="1" x14ac:dyDescent="0.3">
      <c r="A53" s="291"/>
      <c r="B53" s="240"/>
      <c r="C53" s="241"/>
      <c r="D53" s="241"/>
      <c r="E53" s="241"/>
      <c r="F53" s="242"/>
      <c r="G53" s="34"/>
      <c r="H53" s="34"/>
      <c r="I53" s="34"/>
      <c r="J53" s="34"/>
      <c r="K53" s="34"/>
      <c r="L53" s="34"/>
      <c r="M53" s="34"/>
    </row>
    <row r="54" spans="1:13" s="21" customFormat="1" x14ac:dyDescent="0.3">
      <c r="A54" s="291"/>
      <c r="B54" s="240"/>
      <c r="C54" s="241"/>
      <c r="D54" s="241"/>
      <c r="E54" s="241"/>
      <c r="F54" s="242"/>
      <c r="G54" s="34"/>
      <c r="H54" s="34"/>
      <c r="I54" s="34"/>
      <c r="J54" s="34"/>
      <c r="K54" s="34"/>
      <c r="L54" s="34"/>
      <c r="M54" s="34"/>
    </row>
    <row r="55" spans="1:13" s="21" customFormat="1" x14ac:dyDescent="0.3">
      <c r="A55" s="291"/>
      <c r="B55" s="240"/>
      <c r="C55" s="241"/>
      <c r="D55" s="241"/>
      <c r="E55" s="241"/>
      <c r="F55" s="242"/>
      <c r="G55" s="34"/>
      <c r="H55" s="34"/>
      <c r="I55" s="34"/>
      <c r="J55" s="34"/>
      <c r="K55" s="34"/>
      <c r="L55" s="34"/>
      <c r="M55" s="34"/>
    </row>
    <row r="56" spans="1:13" s="21" customFormat="1" x14ac:dyDescent="0.3">
      <c r="A56" s="291"/>
      <c r="B56" s="240"/>
      <c r="C56" s="241"/>
      <c r="D56" s="241"/>
      <c r="E56" s="241"/>
      <c r="F56" s="242"/>
      <c r="G56" s="34"/>
      <c r="H56" s="34"/>
      <c r="I56" s="34"/>
      <c r="J56" s="34"/>
      <c r="K56" s="34"/>
      <c r="L56" s="34"/>
      <c r="M56" s="34"/>
    </row>
    <row r="57" spans="1:13" s="21" customFormat="1" ht="20.100000000000001" customHeight="1" x14ac:dyDescent="0.3">
      <c r="A57" s="292"/>
      <c r="B57" s="296"/>
      <c r="C57" s="285"/>
      <c r="D57" s="285"/>
      <c r="E57" s="285"/>
      <c r="F57" s="285"/>
      <c r="G57" s="34"/>
      <c r="H57" s="34"/>
      <c r="I57" s="34"/>
      <c r="J57" s="34"/>
      <c r="K57" s="34"/>
      <c r="L57" s="34"/>
      <c r="M57" s="34"/>
    </row>
    <row r="58" spans="1:13" ht="20.100000000000001" customHeight="1" x14ac:dyDescent="0.3">
      <c r="A58" s="73" t="s">
        <v>121</v>
      </c>
      <c r="B58" s="249" t="s">
        <v>230</v>
      </c>
      <c r="C58" s="249"/>
      <c r="D58" s="18"/>
      <c r="E58" s="283"/>
      <c r="F58" s="284"/>
    </row>
    <row r="59" spans="1:13" ht="20.100000000000001" customHeight="1" x14ac:dyDescent="0.3">
      <c r="A59" s="68" t="s">
        <v>231</v>
      </c>
      <c r="B59" s="250"/>
      <c r="C59" s="244"/>
      <c r="D59" s="244"/>
      <c r="E59" s="244"/>
      <c r="F59" s="245"/>
    </row>
    <row r="60" spans="1:13" ht="20.100000000000001" customHeight="1" x14ac:dyDescent="0.3">
      <c r="A60" s="73" t="s">
        <v>122</v>
      </c>
      <c r="B60" s="249" t="s">
        <v>230</v>
      </c>
      <c r="C60" s="249"/>
      <c r="D60" s="18"/>
      <c r="E60" s="283"/>
      <c r="F60" s="284"/>
    </row>
    <row r="61" spans="1:13" ht="20.100000000000001" customHeight="1" x14ac:dyDescent="0.3">
      <c r="A61" s="75" t="s">
        <v>232</v>
      </c>
      <c r="B61" s="243"/>
      <c r="C61" s="244"/>
      <c r="D61" s="244"/>
      <c r="E61" s="244"/>
      <c r="F61" s="245"/>
    </row>
    <row r="62" spans="1:13" ht="20.100000000000001" customHeight="1" x14ac:dyDescent="0.3">
      <c r="A62" s="73" t="s">
        <v>123</v>
      </c>
      <c r="B62" s="249" t="s">
        <v>230</v>
      </c>
      <c r="C62" s="249"/>
      <c r="D62" s="18"/>
      <c r="E62" s="283"/>
      <c r="F62" s="284"/>
    </row>
    <row r="63" spans="1:13" ht="20.100000000000001" customHeight="1" x14ac:dyDescent="0.3">
      <c r="A63" s="75" t="s">
        <v>233</v>
      </c>
      <c r="B63" s="243"/>
      <c r="C63" s="244"/>
      <c r="D63" s="244"/>
      <c r="E63" s="244"/>
      <c r="F63" s="245"/>
    </row>
    <row r="64" spans="1:13" ht="20.100000000000001" customHeight="1" x14ac:dyDescent="0.3">
      <c r="A64" s="73" t="s">
        <v>124</v>
      </c>
      <c r="B64" s="249" t="s">
        <v>230</v>
      </c>
      <c r="C64" s="249"/>
      <c r="D64" s="18"/>
      <c r="E64" s="283"/>
      <c r="F64" s="284"/>
    </row>
    <row r="65" spans="1:13" ht="20.100000000000001" customHeight="1" x14ac:dyDescent="0.3">
      <c r="A65" s="75" t="s">
        <v>234</v>
      </c>
      <c r="B65" s="243"/>
      <c r="C65" s="244"/>
      <c r="D65" s="244"/>
      <c r="E65" s="244"/>
      <c r="F65" s="245"/>
    </row>
    <row r="66" spans="1:13" ht="20.100000000000001" customHeight="1" x14ac:dyDescent="0.3">
      <c r="A66" s="73" t="s">
        <v>125</v>
      </c>
      <c r="B66" s="76"/>
      <c r="C66" s="20" t="s">
        <v>128</v>
      </c>
      <c r="D66" s="246"/>
      <c r="E66" s="247"/>
      <c r="F66" s="248"/>
    </row>
    <row r="67" spans="1:13" ht="20.100000000000001" customHeight="1" x14ac:dyDescent="0.3">
      <c r="A67" s="75" t="s">
        <v>235</v>
      </c>
      <c r="B67" s="243"/>
      <c r="C67" s="244"/>
      <c r="D67" s="244"/>
      <c r="E67" s="244"/>
      <c r="F67" s="245"/>
    </row>
    <row r="68" spans="1:13" ht="20.100000000000001" customHeight="1" x14ac:dyDescent="0.3">
      <c r="A68" s="72" t="s">
        <v>129</v>
      </c>
      <c r="B68" s="279"/>
      <c r="C68" s="280"/>
      <c r="D68" s="280"/>
      <c r="E68" s="280"/>
      <c r="F68" s="281"/>
    </row>
    <row r="69" spans="1:13" ht="20.100000000000001" customHeight="1" x14ac:dyDescent="0.3">
      <c r="A69" s="72" t="s">
        <v>130</v>
      </c>
      <c r="B69" s="279"/>
      <c r="C69" s="280"/>
      <c r="D69" s="280"/>
      <c r="E69" s="280"/>
      <c r="F69" s="281"/>
    </row>
    <row r="70" spans="1:13" s="21" customFormat="1" ht="20.100000000000001" customHeight="1" x14ac:dyDescent="0.3">
      <c r="A70" s="105" t="s">
        <v>131</v>
      </c>
      <c r="B70" s="279"/>
      <c r="C70" s="280"/>
      <c r="D70" s="280"/>
      <c r="E70" s="280"/>
      <c r="F70" s="281"/>
      <c r="G70" s="34"/>
      <c r="H70" s="34"/>
      <c r="I70" s="34"/>
      <c r="J70" s="34"/>
      <c r="K70" s="34"/>
      <c r="L70" s="34"/>
      <c r="M70" s="34"/>
    </row>
    <row r="71" spans="1:13" s="21" customFormat="1" ht="15.75" customHeight="1" thickBot="1" x14ac:dyDescent="0.35">
      <c r="A71" s="34"/>
      <c r="B71" s="34"/>
      <c r="C71" s="34"/>
      <c r="D71" s="34"/>
      <c r="E71" s="34"/>
      <c r="G71" s="34"/>
      <c r="H71" s="34"/>
      <c r="I71" s="34"/>
      <c r="J71" s="34"/>
      <c r="K71" s="34"/>
      <c r="L71" s="34"/>
      <c r="M71" s="34"/>
    </row>
    <row r="72" spans="1:13" s="16" customFormat="1" ht="20.100000000000001" customHeight="1" thickTop="1" thickBot="1" x14ac:dyDescent="0.35">
      <c r="A72" s="297" t="s">
        <v>209</v>
      </c>
      <c r="B72" s="297"/>
      <c r="C72" s="297"/>
      <c r="D72" s="297"/>
      <c r="E72" s="297"/>
      <c r="F72" s="297"/>
      <c r="G72" s="34"/>
      <c r="H72" s="34"/>
      <c r="I72" s="34"/>
      <c r="J72" s="34"/>
      <c r="K72" s="34"/>
      <c r="L72" s="34"/>
      <c r="M72" s="34"/>
    </row>
    <row r="73" spans="1:13" ht="55.5" customHeight="1" thickTop="1" x14ac:dyDescent="0.3">
      <c r="A73"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303"/>
      <c r="C73" s="304"/>
      <c r="D73"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73" s="294"/>
      <c r="F73" s="295"/>
    </row>
    <row r="74" spans="1:13" ht="15.75" customHeight="1" x14ac:dyDescent="0.3">
      <c r="A74" s="231" t="s">
        <v>208</v>
      </c>
      <c r="B74" s="231"/>
      <c r="C74" s="231"/>
      <c r="D74" s="254" t="s">
        <v>456</v>
      </c>
      <c r="E74" s="255"/>
      <c r="F74" s="256"/>
    </row>
    <row r="75" spans="1:13" x14ac:dyDescent="0.3">
      <c r="A75" s="58" t="s">
        <v>182</v>
      </c>
      <c r="B75" s="222"/>
      <c r="C75" s="222"/>
      <c r="D75" s="73" t="s">
        <v>455</v>
      </c>
      <c r="E75" s="73" t="s">
        <v>451</v>
      </c>
      <c r="F75" s="73" t="s">
        <v>452</v>
      </c>
    </row>
    <row r="76" spans="1:13" x14ac:dyDescent="0.3">
      <c r="A76" s="58" t="s">
        <v>201</v>
      </c>
      <c r="B76" s="222"/>
      <c r="C76" s="222"/>
      <c r="D76" s="73" t="s">
        <v>448</v>
      </c>
      <c r="E76" s="156"/>
      <c r="F76" s="157"/>
      <c r="G76" s="113" t="str">
        <f>IF(AND(E76+F76&gt;0,$B$75&lt;&gt;"RIRE, Stuttgart",$B$75&lt;&gt;"Rosen Center",$B$75&lt;&gt;"Lonoke Ag Center"),"* Error - facility not available at selected Research Station","")</f>
        <v/>
      </c>
    </row>
    <row r="77" spans="1:13" x14ac:dyDescent="0.3">
      <c r="A77" s="58" t="s">
        <v>183</v>
      </c>
      <c r="B77" s="260"/>
      <c r="C77" s="260"/>
      <c r="D77" s="73" t="s">
        <v>449</v>
      </c>
      <c r="E77" s="156"/>
      <c r="F77" s="158"/>
      <c r="G77" s="113" t="str">
        <f>IF(AND(E77+F77&gt;0,$B$75&lt;&gt;"RIRE, Stuttgart",$B$75&lt;&gt;"Rosen Center"),"* Error - facility not available at selected Research Station","")</f>
        <v/>
      </c>
    </row>
    <row r="78" spans="1:13" x14ac:dyDescent="0.3">
      <c r="A78" s="58" t="s">
        <v>184</v>
      </c>
      <c r="B78" s="260"/>
      <c r="C78" s="260"/>
      <c r="D78" s="73" t="s">
        <v>450</v>
      </c>
      <c r="E78" s="156"/>
      <c r="F78" s="158"/>
      <c r="G78" s="113" t="str">
        <f>IF(AND(E78+F78&gt;0,$B$75&lt;&gt;"Rosen Center"),"* Error - facility not available at selected Research Station","")</f>
        <v/>
      </c>
    </row>
    <row r="79" spans="1:13" x14ac:dyDescent="0.3">
      <c r="A79" s="58" t="s">
        <v>185</v>
      </c>
      <c r="B79" s="260"/>
      <c r="C79" s="260"/>
      <c r="D79" s="263" t="str">
        <f>IF(OR(G76="* Error - facility not available at selected Research Station",G77="* Error - facility not available at selected Research Station",G78="* Error - facility not available at selected Research Station"),"See error message(s)","")</f>
        <v/>
      </c>
      <c r="E79" s="272"/>
      <c r="F79" s="273"/>
    </row>
    <row r="80" spans="1:13" x14ac:dyDescent="0.3">
      <c r="A80" s="58" t="s">
        <v>186</v>
      </c>
      <c r="B80" s="260"/>
      <c r="C80" s="260"/>
      <c r="D80" s="274"/>
      <c r="E80" s="275"/>
      <c r="F80" s="276"/>
    </row>
    <row r="81" spans="1:14" ht="75.75" customHeight="1" x14ac:dyDescent="0.3">
      <c r="A81" s="282" t="s">
        <v>336</v>
      </c>
      <c r="B81" s="282"/>
      <c r="C81" s="282"/>
      <c r="D81" s="282"/>
      <c r="E81" s="282"/>
      <c r="F81" s="282"/>
    </row>
    <row r="82" spans="1:14" ht="31.5" customHeight="1" x14ac:dyDescent="0.45">
      <c r="A82" s="29" t="s">
        <v>11</v>
      </c>
      <c r="B82" s="29" t="s">
        <v>114</v>
      </c>
      <c r="C82" s="159" t="s">
        <v>141</v>
      </c>
      <c r="D82" s="29" t="s">
        <v>132</v>
      </c>
      <c r="N82" s="59"/>
    </row>
    <row r="83" spans="1:14" x14ac:dyDescent="0.3">
      <c r="A83" s="23" t="s">
        <v>113</v>
      </c>
      <c r="B83" s="7" t="e">
        <f>IF(OR(B75="Rosen Center",B75="Lonoke Ag Center"),0,IF(B75&lt;&gt;"RIRE, Stuttgart",HLOOKUP(B76,Fixed_Rate_Optional,2,FALSE)*B77,100*B77))</f>
        <v>#N/A</v>
      </c>
      <c r="C83" s="13" t="s">
        <v>112</v>
      </c>
      <c r="D83" s="119" t="e">
        <f t="shared" ref="D83" si="3">IF(C83="Yes",B83,0)</f>
        <v>#N/A</v>
      </c>
    </row>
    <row r="84" spans="1:14" x14ac:dyDescent="0.3">
      <c r="A84" s="28" t="s">
        <v>140</v>
      </c>
      <c r="B84" s="24"/>
      <c r="C84" s="24"/>
      <c r="D84" s="25"/>
    </row>
    <row r="85" spans="1:14" x14ac:dyDescent="0.3">
      <c r="A85" s="23" t="s">
        <v>5</v>
      </c>
      <c r="B85" s="65" t="e">
        <f t="shared" ref="B85:B93" si="4">IF(OR($B$75="Rosen Center",$B$75="Lonoke Ag Center"),0,INDEX(Fixed_Rate_Optional,MATCH(A85,Expense_Item,0),MATCH($B$76,Commodity_Item,0))*$B$77)</f>
        <v>#N/A</v>
      </c>
      <c r="C85" s="27"/>
      <c r="D85" s="7">
        <f t="shared" ref="D85:D94" si="5">IF(C85="Yes",B85,0)</f>
        <v>0</v>
      </c>
    </row>
    <row r="86" spans="1:14" x14ac:dyDescent="0.3">
      <c r="A86" s="23" t="s">
        <v>6</v>
      </c>
      <c r="B86" s="65" t="e">
        <f t="shared" si="4"/>
        <v>#N/A</v>
      </c>
      <c r="C86" s="27"/>
      <c r="D86" s="7">
        <f t="shared" si="5"/>
        <v>0</v>
      </c>
    </row>
    <row r="87" spans="1:14" x14ac:dyDescent="0.3">
      <c r="A87" s="23" t="s">
        <v>7</v>
      </c>
      <c r="B87" s="65" t="e">
        <f t="shared" si="4"/>
        <v>#N/A</v>
      </c>
      <c r="C87" s="27"/>
      <c r="D87" s="7">
        <f t="shared" si="5"/>
        <v>0</v>
      </c>
    </row>
    <row r="88" spans="1:14" x14ac:dyDescent="0.3">
      <c r="A88" s="23" t="s">
        <v>8</v>
      </c>
      <c r="B88" s="65" t="e">
        <f t="shared" si="4"/>
        <v>#N/A</v>
      </c>
      <c r="C88" s="27"/>
      <c r="D88" s="7">
        <f t="shared" si="5"/>
        <v>0</v>
      </c>
    </row>
    <row r="89" spans="1:14" x14ac:dyDescent="0.3">
      <c r="A89" s="23" t="s">
        <v>9</v>
      </c>
      <c r="B89" s="65" t="e">
        <f t="shared" si="4"/>
        <v>#N/A</v>
      </c>
      <c r="C89" s="27"/>
      <c r="D89" s="7">
        <f t="shared" si="5"/>
        <v>0</v>
      </c>
    </row>
    <row r="90" spans="1:14" x14ac:dyDescent="0.3">
      <c r="A90" s="23" t="s">
        <v>10</v>
      </c>
      <c r="B90" s="65" t="e">
        <f t="shared" si="4"/>
        <v>#N/A</v>
      </c>
      <c r="C90" s="27"/>
      <c r="D90" s="7">
        <f t="shared" si="5"/>
        <v>0</v>
      </c>
    </row>
    <row r="91" spans="1:14" x14ac:dyDescent="0.3">
      <c r="A91" s="23" t="s">
        <v>13</v>
      </c>
      <c r="B91" s="65" t="e">
        <f t="shared" si="4"/>
        <v>#N/A</v>
      </c>
      <c r="C91" s="27"/>
      <c r="D91" s="7">
        <f t="shared" si="5"/>
        <v>0</v>
      </c>
    </row>
    <row r="92" spans="1:14" x14ac:dyDescent="0.3">
      <c r="A92" s="23" t="s">
        <v>14</v>
      </c>
      <c r="B92" s="65" t="e">
        <f t="shared" si="4"/>
        <v>#N/A</v>
      </c>
      <c r="C92" s="27"/>
      <c r="D92" s="7">
        <f t="shared" si="5"/>
        <v>0</v>
      </c>
    </row>
    <row r="93" spans="1:14" x14ac:dyDescent="0.3">
      <c r="A93" s="23" t="s">
        <v>15</v>
      </c>
      <c r="B93" s="65" t="e">
        <f t="shared" si="4"/>
        <v>#N/A</v>
      </c>
      <c r="C93" s="27"/>
      <c r="D93" s="7">
        <f t="shared" si="5"/>
        <v>0</v>
      </c>
    </row>
    <row r="94" spans="1:14" x14ac:dyDescent="0.3">
      <c r="A94" s="23" t="s">
        <v>16</v>
      </c>
      <c r="B94" s="12" t="e">
        <f>IF(OR(B75="Rosen Center",B75="Lonoke Ag Center"),0,INDEX(Fixed_Rate_Optional,MATCH(A94,Expense_Item,0),MATCH(B76,Commodity_Item,0))*B79*B80)</f>
        <v>#N/A</v>
      </c>
      <c r="C94" s="27"/>
      <c r="D94" s="7">
        <f t="shared" si="5"/>
        <v>0</v>
      </c>
    </row>
    <row r="95" spans="1:14" x14ac:dyDescent="0.3">
      <c r="A95" s="28" t="s">
        <v>133</v>
      </c>
      <c r="B95" s="298"/>
      <c r="C95" s="299"/>
      <c r="D95" s="300"/>
    </row>
    <row r="96" spans="1:14" x14ac:dyDescent="0.3">
      <c r="A96" s="23" t="s">
        <v>134</v>
      </c>
      <c r="B96" s="65" t="e">
        <f t="shared" ref="B96:B101" si="6">IF(OR($B$75="Rosen Center",$B$75="Lonoke Ag Center"),0,INDEX(Fixed_Rate_Optional,MATCH(A96,Expense_Item,0),MATCH($B$76,Commodity_Item,0))*$B$77)</f>
        <v>#N/A</v>
      </c>
      <c r="C96" s="27"/>
      <c r="D96" s="7">
        <f t="shared" ref="D96:D101" si="7">IF(C96="Yes",B96,0)</f>
        <v>0</v>
      </c>
    </row>
    <row r="97" spans="1:13" x14ac:dyDescent="0.3">
      <c r="A97" s="23" t="s">
        <v>135</v>
      </c>
      <c r="B97" s="65" t="e">
        <f t="shared" si="6"/>
        <v>#N/A</v>
      </c>
      <c r="C97" s="27"/>
      <c r="D97" s="7">
        <f t="shared" si="7"/>
        <v>0</v>
      </c>
    </row>
    <row r="98" spans="1:13" x14ac:dyDescent="0.3">
      <c r="A98" s="23" t="s">
        <v>136</v>
      </c>
      <c r="B98" s="65" t="e">
        <f t="shared" si="6"/>
        <v>#N/A</v>
      </c>
      <c r="C98" s="27"/>
      <c r="D98" s="7">
        <f t="shared" si="7"/>
        <v>0</v>
      </c>
    </row>
    <row r="99" spans="1:13" x14ac:dyDescent="0.3">
      <c r="A99" s="23" t="s">
        <v>137</v>
      </c>
      <c r="B99" s="65" t="e">
        <f t="shared" si="6"/>
        <v>#N/A</v>
      </c>
      <c r="C99" s="27"/>
      <c r="D99" s="7">
        <f t="shared" si="7"/>
        <v>0</v>
      </c>
    </row>
    <row r="100" spans="1:13" x14ac:dyDescent="0.3">
      <c r="A100" s="23" t="s">
        <v>138</v>
      </c>
      <c r="B100" s="65" t="e">
        <f t="shared" si="6"/>
        <v>#N/A</v>
      </c>
      <c r="C100" s="27"/>
      <c r="D100" s="7">
        <f t="shared" si="7"/>
        <v>0</v>
      </c>
    </row>
    <row r="101" spans="1:13" x14ac:dyDescent="0.3">
      <c r="A101" s="23" t="s">
        <v>139</v>
      </c>
      <c r="B101" s="65" t="e">
        <f t="shared" si="6"/>
        <v>#N/A</v>
      </c>
      <c r="C101" s="27"/>
      <c r="D101" s="7">
        <f t="shared" si="7"/>
        <v>0</v>
      </c>
    </row>
    <row r="102" spans="1:13" ht="15.75" customHeight="1" x14ac:dyDescent="0.3">
      <c r="A102" s="28" t="str">
        <f>B75&amp;" Total"</f>
        <v xml:space="preserve"> Total</v>
      </c>
      <c r="B102" s="121"/>
      <c r="C102" s="20"/>
      <c r="D102" s="26" t="e">
        <f>SUM(D83,D85:D94,D96:D101)</f>
        <v>#N/A</v>
      </c>
    </row>
    <row r="103" spans="1:13" ht="15.75" customHeight="1" x14ac:dyDescent="0.3">
      <c r="A103" s="28" t="s">
        <v>460</v>
      </c>
      <c r="B103" s="29" t="s">
        <v>464</v>
      </c>
      <c r="C103" s="29" t="s">
        <v>466</v>
      </c>
      <c r="D103" s="29" t="s">
        <v>465</v>
      </c>
      <c r="E103" s="29" t="s">
        <v>111</v>
      </c>
    </row>
    <row r="104" spans="1:13" x14ac:dyDescent="0.3">
      <c r="A104" s="68" t="s">
        <v>457</v>
      </c>
      <c r="B104" s="132">
        <f>Greenhouse_Rate</f>
        <v>1</v>
      </c>
      <c r="C104" s="137">
        <f>IF(OR(B75="Lonoke Ag Center",B75="RIRE, Stuttgart",B75="Rosen Center"),E76,0)</f>
        <v>0</v>
      </c>
      <c r="D104" s="136">
        <f>IF(OR(B75="Lonoke Ag Center",B75="RIRE, Stuttgart",B75="Rosen Center"),F76,0)</f>
        <v>0</v>
      </c>
      <c r="E104" s="135">
        <f>C104*D104*B104</f>
        <v>0</v>
      </c>
    </row>
    <row r="105" spans="1:13" x14ac:dyDescent="0.3">
      <c r="A105" s="68" t="s">
        <v>458</v>
      </c>
      <c r="B105" s="132">
        <f>Growth_Chamber_Rate</f>
        <v>6.8</v>
      </c>
      <c r="C105" s="137">
        <f>IF(OR(B75="RIRE, Stuttgart",B75="Rosen Center"),E77,0)</f>
        <v>0</v>
      </c>
      <c r="D105" s="136">
        <f>IF(OR(B75="RIRE, Stuttgart",B75="Rosen Center"),F77,0)</f>
        <v>0</v>
      </c>
      <c r="E105" s="135">
        <f>C105*D105*B105</f>
        <v>0</v>
      </c>
    </row>
    <row r="106" spans="1:13" x14ac:dyDescent="0.3">
      <c r="A106" s="68" t="s">
        <v>459</v>
      </c>
      <c r="B106" s="132">
        <f>Quarantine_Rate</f>
        <v>1.1000000000000001</v>
      </c>
      <c r="C106" s="137">
        <f>IF(B75="Rosen Center",E78,0)</f>
        <v>0</v>
      </c>
      <c r="D106" s="136">
        <f>IF(B75="Rosen Center",F78,0)</f>
        <v>0</v>
      </c>
      <c r="E106" s="135">
        <f>C106*D106*B106</f>
        <v>0</v>
      </c>
    </row>
    <row r="107" spans="1:13" x14ac:dyDescent="0.3">
      <c r="A107" s="130" t="s">
        <v>111</v>
      </c>
      <c r="B107" s="144"/>
      <c r="C107" s="137">
        <f>SUM(C104:C106)</f>
        <v>0</v>
      </c>
      <c r="D107" s="136">
        <f>SUM(D104:D106)</f>
        <v>0</v>
      </c>
      <c r="E107" s="26">
        <f t="shared" ref="E107" si="8">SUM(E104:E106)</f>
        <v>0</v>
      </c>
    </row>
    <row r="108" spans="1:13" s="16" customFormat="1" x14ac:dyDescent="0.3">
      <c r="A108" s="254" t="s">
        <v>229</v>
      </c>
      <c r="B108" s="255"/>
      <c r="C108" s="255"/>
      <c r="D108" s="255"/>
      <c r="E108" s="255"/>
      <c r="F108" s="255"/>
      <c r="G108" s="34"/>
      <c r="H108" s="34"/>
      <c r="I108" s="34"/>
      <c r="J108" s="34"/>
      <c r="K108" s="34"/>
      <c r="L108" s="34"/>
      <c r="M108" s="34"/>
    </row>
    <row r="109" spans="1:13" ht="51.9" customHeight="1" x14ac:dyDescent="0.3">
      <c r="A109" s="68" t="s">
        <v>115</v>
      </c>
      <c r="B109" s="278"/>
      <c r="C109" s="278"/>
      <c r="D109" s="278"/>
      <c r="E109" s="278"/>
      <c r="F109" s="278"/>
    </row>
    <row r="110" spans="1:13" ht="18.75" customHeight="1" x14ac:dyDescent="0.3">
      <c r="A110" s="68" t="s">
        <v>116</v>
      </c>
      <c r="B110" s="289"/>
      <c r="C110" s="289"/>
      <c r="D110" s="289"/>
      <c r="E110" s="289"/>
      <c r="F110" s="289"/>
    </row>
    <row r="111" spans="1:13" x14ac:dyDescent="0.3">
      <c r="A111" s="68" t="s">
        <v>117</v>
      </c>
      <c r="B111" s="258"/>
      <c r="C111" s="258"/>
      <c r="D111" s="258"/>
      <c r="E111" s="258"/>
      <c r="F111" s="258"/>
    </row>
    <row r="112" spans="1:13" x14ac:dyDescent="0.3">
      <c r="A112" s="68" t="s">
        <v>228</v>
      </c>
      <c r="B112" s="258"/>
      <c r="C112" s="258"/>
      <c r="D112" s="258"/>
      <c r="E112" s="258"/>
      <c r="F112" s="258"/>
    </row>
    <row r="113" spans="1:14" x14ac:dyDescent="0.3">
      <c r="A113" s="68" t="s">
        <v>118</v>
      </c>
      <c r="B113" s="257"/>
      <c r="C113" s="258"/>
      <c r="D113" s="258"/>
      <c r="E113" s="258"/>
      <c r="F113" s="258"/>
    </row>
    <row r="114" spans="1:14" x14ac:dyDescent="0.3">
      <c r="A114" s="68" t="s">
        <v>126</v>
      </c>
      <c r="B114" s="277"/>
      <c r="C114" s="277"/>
      <c r="D114" s="277"/>
      <c r="E114" s="277"/>
      <c r="F114" s="277"/>
    </row>
    <row r="115" spans="1:14" x14ac:dyDescent="0.3">
      <c r="A115" s="68" t="s">
        <v>127</v>
      </c>
      <c r="B115" s="277"/>
      <c r="C115" s="277"/>
      <c r="D115" s="277"/>
      <c r="E115" s="277"/>
      <c r="F115" s="277"/>
    </row>
    <row r="116" spans="1:14" x14ac:dyDescent="0.3">
      <c r="A116" s="68" t="s">
        <v>119</v>
      </c>
      <c r="B116" s="277"/>
      <c r="C116" s="277"/>
      <c r="D116" s="277"/>
      <c r="E116" s="277"/>
      <c r="F116" s="277"/>
    </row>
    <row r="117" spans="1:14" x14ac:dyDescent="0.3">
      <c r="A117" s="290" t="s">
        <v>120</v>
      </c>
      <c r="B117" s="286"/>
      <c r="C117" s="287"/>
      <c r="D117" s="287"/>
      <c r="E117" s="287"/>
      <c r="F117" s="288"/>
    </row>
    <row r="118" spans="1:14" ht="15.75" customHeight="1" x14ac:dyDescent="0.3">
      <c r="A118" s="291"/>
      <c r="B118" s="240"/>
      <c r="C118" s="241"/>
      <c r="D118" s="241"/>
      <c r="E118" s="241"/>
      <c r="F118" s="242"/>
      <c r="N118" s="60"/>
    </row>
    <row r="119" spans="1:14" x14ac:dyDescent="0.3">
      <c r="A119" s="291"/>
      <c r="B119" s="240"/>
      <c r="C119" s="241"/>
      <c r="D119" s="241"/>
      <c r="E119" s="241"/>
      <c r="F119" s="242"/>
    </row>
    <row r="120" spans="1:14" x14ac:dyDescent="0.3">
      <c r="A120" s="291"/>
      <c r="B120" s="240"/>
      <c r="C120" s="241"/>
      <c r="D120" s="241"/>
      <c r="E120" s="241"/>
      <c r="F120" s="242"/>
    </row>
    <row r="121" spans="1:14" x14ac:dyDescent="0.3">
      <c r="A121" s="291"/>
      <c r="B121" s="240"/>
      <c r="C121" s="241"/>
      <c r="D121" s="241"/>
      <c r="E121" s="241"/>
      <c r="F121" s="242"/>
    </row>
    <row r="122" spans="1:14" x14ac:dyDescent="0.3">
      <c r="A122" s="291"/>
      <c r="B122" s="240"/>
      <c r="C122" s="241"/>
      <c r="D122" s="241"/>
      <c r="E122" s="241"/>
      <c r="F122" s="242"/>
    </row>
    <row r="123" spans="1:14" x14ac:dyDescent="0.3">
      <c r="A123" s="291"/>
      <c r="B123" s="240"/>
      <c r="C123" s="241"/>
      <c r="D123" s="241"/>
      <c r="E123" s="241"/>
      <c r="F123" s="242"/>
    </row>
    <row r="124" spans="1:14" x14ac:dyDescent="0.3">
      <c r="A124" s="291"/>
      <c r="B124" s="240"/>
      <c r="C124" s="241"/>
      <c r="D124" s="241"/>
      <c r="E124" s="241"/>
      <c r="F124" s="242"/>
    </row>
    <row r="125" spans="1:14" x14ac:dyDescent="0.3">
      <c r="A125" s="292"/>
      <c r="B125" s="285"/>
      <c r="C125" s="285"/>
      <c r="D125" s="285"/>
      <c r="E125" s="285"/>
      <c r="F125" s="285"/>
    </row>
    <row r="126" spans="1:14" x14ac:dyDescent="0.3">
      <c r="A126" s="73" t="s">
        <v>121</v>
      </c>
      <c r="B126" s="249" t="s">
        <v>230</v>
      </c>
      <c r="C126" s="249"/>
      <c r="D126" s="18"/>
      <c r="E126" s="283"/>
      <c r="F126" s="284"/>
    </row>
    <row r="127" spans="1:14" x14ac:dyDescent="0.3">
      <c r="A127" s="68" t="s">
        <v>231</v>
      </c>
      <c r="B127" s="243"/>
      <c r="C127" s="244"/>
      <c r="D127" s="244"/>
      <c r="E127" s="244"/>
      <c r="F127" s="245"/>
    </row>
    <row r="128" spans="1:14" x14ac:dyDescent="0.3">
      <c r="A128" s="73" t="s">
        <v>122</v>
      </c>
      <c r="B128" s="249" t="s">
        <v>230</v>
      </c>
      <c r="C128" s="249"/>
      <c r="D128" s="18"/>
      <c r="E128" s="283"/>
      <c r="F128" s="284"/>
    </row>
    <row r="129" spans="1:13" x14ac:dyDescent="0.3">
      <c r="A129" s="75" t="s">
        <v>232</v>
      </c>
      <c r="B129" s="243"/>
      <c r="C129" s="244"/>
      <c r="D129" s="244"/>
      <c r="E129" s="244"/>
      <c r="F129" s="245"/>
    </row>
    <row r="130" spans="1:13" x14ac:dyDescent="0.3">
      <c r="A130" s="73" t="s">
        <v>123</v>
      </c>
      <c r="B130" s="249" t="s">
        <v>230</v>
      </c>
      <c r="C130" s="249"/>
      <c r="D130" s="18"/>
      <c r="E130" s="283"/>
      <c r="F130" s="284"/>
    </row>
    <row r="131" spans="1:13" x14ac:dyDescent="0.3">
      <c r="A131" s="75" t="s">
        <v>233</v>
      </c>
      <c r="B131" s="243"/>
      <c r="C131" s="244"/>
      <c r="D131" s="244"/>
      <c r="E131" s="244"/>
      <c r="F131" s="245"/>
    </row>
    <row r="132" spans="1:13" x14ac:dyDescent="0.3">
      <c r="A132" s="73" t="s">
        <v>124</v>
      </c>
      <c r="B132" s="249" t="s">
        <v>230</v>
      </c>
      <c r="C132" s="249"/>
      <c r="D132" s="18"/>
      <c r="E132" s="283"/>
      <c r="F132" s="284"/>
    </row>
    <row r="133" spans="1:13" x14ac:dyDescent="0.3">
      <c r="A133" s="75" t="s">
        <v>234</v>
      </c>
      <c r="B133" s="243"/>
      <c r="C133" s="244"/>
      <c r="D133" s="244"/>
      <c r="E133" s="244"/>
      <c r="F133" s="245"/>
    </row>
    <row r="134" spans="1:13" x14ac:dyDescent="0.3">
      <c r="A134" s="73" t="s">
        <v>125</v>
      </c>
      <c r="B134" s="76" t="s">
        <v>119</v>
      </c>
      <c r="C134" s="20" t="s">
        <v>128</v>
      </c>
      <c r="D134" s="246"/>
      <c r="E134" s="247"/>
      <c r="F134" s="248"/>
    </row>
    <row r="135" spans="1:13" x14ac:dyDescent="0.3">
      <c r="A135" s="75" t="s">
        <v>235</v>
      </c>
      <c r="B135" s="243"/>
      <c r="C135" s="244"/>
      <c r="D135" s="244"/>
      <c r="E135" s="244"/>
      <c r="F135" s="245"/>
    </row>
    <row r="136" spans="1:13" x14ac:dyDescent="0.3">
      <c r="A136" s="72" t="s">
        <v>129</v>
      </c>
      <c r="B136" s="279"/>
      <c r="C136" s="280"/>
      <c r="D136" s="280"/>
      <c r="E136" s="280"/>
      <c r="F136" s="281"/>
    </row>
    <row r="137" spans="1:13" x14ac:dyDescent="0.3">
      <c r="A137" s="72" t="s">
        <v>130</v>
      </c>
      <c r="B137" s="279"/>
      <c r="C137" s="280"/>
      <c r="D137" s="280"/>
      <c r="E137" s="280"/>
      <c r="F137" s="281"/>
    </row>
    <row r="138" spans="1:13" x14ac:dyDescent="0.3">
      <c r="A138" s="105" t="s">
        <v>131</v>
      </c>
      <c r="B138" s="279"/>
      <c r="C138" s="280"/>
      <c r="D138" s="280"/>
      <c r="E138" s="280"/>
      <c r="F138" s="281"/>
    </row>
    <row r="139" spans="1:13" ht="15.75" customHeight="1" thickBot="1" x14ac:dyDescent="0.35"/>
    <row r="140" spans="1:13" ht="20.100000000000001" customHeight="1" thickTop="1" thickBot="1" x14ac:dyDescent="0.35">
      <c r="A140" s="301" t="s">
        <v>211</v>
      </c>
      <c r="B140" s="301"/>
      <c r="C140" s="301"/>
      <c r="D140" s="301"/>
      <c r="E140" s="301"/>
      <c r="F140" s="301"/>
    </row>
    <row r="141" spans="1:13" s="16" customFormat="1" ht="57.75" customHeight="1" thickTop="1" x14ac:dyDescent="0.3">
      <c r="A141"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303"/>
      <c r="C141" s="304"/>
      <c r="D141"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141" s="294"/>
      <c r="F141" s="295"/>
      <c r="G141" s="34"/>
      <c r="H141" s="34"/>
      <c r="I141" s="34"/>
      <c r="J141" s="34"/>
      <c r="K141" s="34"/>
      <c r="L141" s="34"/>
      <c r="M141" s="34"/>
    </row>
    <row r="142" spans="1:13" ht="15.75" customHeight="1" x14ac:dyDescent="0.3">
      <c r="A142" s="231" t="s">
        <v>208</v>
      </c>
      <c r="B142" s="231"/>
      <c r="C142" s="231"/>
      <c r="D142" s="254" t="s">
        <v>456</v>
      </c>
      <c r="E142" s="255"/>
      <c r="F142" s="256"/>
    </row>
    <row r="143" spans="1:13" ht="18.75" customHeight="1" x14ac:dyDescent="0.3">
      <c r="A143" s="58" t="s">
        <v>182</v>
      </c>
      <c r="B143" s="222"/>
      <c r="C143" s="222"/>
      <c r="D143" s="73" t="s">
        <v>455</v>
      </c>
      <c r="E143" s="73" t="s">
        <v>451</v>
      </c>
      <c r="F143" s="73" t="s">
        <v>452</v>
      </c>
    </row>
    <row r="144" spans="1:13" x14ac:dyDescent="0.3">
      <c r="A144" s="58" t="s">
        <v>201</v>
      </c>
      <c r="B144" s="222"/>
      <c r="C144" s="222"/>
      <c r="D144" s="73" t="s">
        <v>448</v>
      </c>
      <c r="E144" s="156"/>
      <c r="F144" s="157"/>
      <c r="G144" s="113" t="str">
        <f>IF(AND(E144+F144&gt;0,$B$143&lt;&gt;"RIRE, Stuttgart",$B$143&lt;&gt;"Rosen Center",$B$143&lt;&gt;"Lonoke Ag Center"),"* Error - facility not available at selected Research Station","")</f>
        <v/>
      </c>
    </row>
    <row r="145" spans="1:14" x14ac:dyDescent="0.3">
      <c r="A145" s="58" t="s">
        <v>183</v>
      </c>
      <c r="B145" s="260"/>
      <c r="C145" s="260"/>
      <c r="D145" s="73" t="s">
        <v>449</v>
      </c>
      <c r="E145" s="156"/>
      <c r="F145" s="158"/>
      <c r="G145" s="113" t="str">
        <f>IF(AND(E145+F145&gt;0,$B$143&lt;&gt;"RIRE, Stuttgart",$B$143&lt;&gt;"Rosen Center"),"* Error - facility not available at selected Research Station","")</f>
        <v/>
      </c>
    </row>
    <row r="146" spans="1:14" x14ac:dyDescent="0.3">
      <c r="A146" s="58" t="s">
        <v>184</v>
      </c>
      <c r="B146" s="260"/>
      <c r="C146" s="260"/>
      <c r="D146" s="73" t="s">
        <v>450</v>
      </c>
      <c r="E146" s="156"/>
      <c r="F146" s="158"/>
      <c r="G146" s="113" t="str">
        <f>IF(AND(E146+F146&gt;0,$B$143&lt;&gt;"Rosen Center"),"* Error - facility not available at selected Research Station","")</f>
        <v/>
      </c>
    </row>
    <row r="147" spans="1:14" x14ac:dyDescent="0.3">
      <c r="A147" s="58" t="s">
        <v>185</v>
      </c>
      <c r="B147" s="260"/>
      <c r="C147" s="260"/>
      <c r="D147" s="263" t="str">
        <f>IF(OR(G144="* Error - facility not available at selected Research Station",G145="* Error - facility not available at selected Research Station",G146="* Error - facility not available at selected Research Station"),"See error message(s)","")</f>
        <v/>
      </c>
      <c r="E147" s="272"/>
      <c r="F147" s="273"/>
    </row>
    <row r="148" spans="1:14" x14ac:dyDescent="0.3">
      <c r="A148" s="58" t="s">
        <v>186</v>
      </c>
      <c r="B148" s="260"/>
      <c r="C148" s="260"/>
      <c r="D148" s="274"/>
      <c r="E148" s="275"/>
      <c r="F148" s="276"/>
    </row>
    <row r="149" spans="1:14" ht="75.75" customHeight="1" x14ac:dyDescent="0.3">
      <c r="A149" s="282" t="s">
        <v>336</v>
      </c>
      <c r="B149" s="282"/>
      <c r="C149" s="282"/>
      <c r="D149" s="282"/>
      <c r="E149" s="282"/>
      <c r="F149" s="282"/>
    </row>
    <row r="150" spans="1:14" ht="31.2" x14ac:dyDescent="0.3">
      <c r="A150" s="29" t="s">
        <v>11</v>
      </c>
      <c r="B150" s="29" t="s">
        <v>114</v>
      </c>
      <c r="C150" s="159" t="s">
        <v>141</v>
      </c>
      <c r="D150" s="29" t="s">
        <v>132</v>
      </c>
    </row>
    <row r="151" spans="1:14" ht="23.4" x14ac:dyDescent="0.3">
      <c r="A151" s="23" t="s">
        <v>113</v>
      </c>
      <c r="B151" s="7" t="e">
        <f>IF(OR(B143="Rosen Center",B143="Lonoke Ag Center"),0,IF(B143&lt;&gt;"RIRE, Stuttgart",HLOOKUP(B144,Fixed_Rate_Optional,2,FALSE)*B145,100*B145))</f>
        <v>#N/A</v>
      </c>
      <c r="C151" s="13" t="s">
        <v>112</v>
      </c>
      <c r="D151" s="7" t="e">
        <f t="shared" ref="D151" si="9">IF(C151="Yes",B151,0)</f>
        <v>#N/A</v>
      </c>
      <c r="N151" s="60"/>
    </row>
    <row r="152" spans="1:14" ht="15.75" customHeight="1" x14ac:dyDescent="0.3">
      <c r="A152" s="28" t="s">
        <v>140</v>
      </c>
      <c r="B152" s="24"/>
      <c r="C152" s="24"/>
      <c r="D152" s="25"/>
      <c r="N152" s="60"/>
    </row>
    <row r="153" spans="1:14" x14ac:dyDescent="0.3">
      <c r="A153" s="23" t="s">
        <v>5</v>
      </c>
      <c r="B153" s="12" t="e">
        <f t="shared" ref="B153:B161" si="10">IF(OR($B$143="Rosen Center",$B$143="Lonoke Ag Center"),0,INDEX(Fixed_Rate_Optional,MATCH(A153,Expense_Item,0),MATCH($B$144,Commodity_Item,0))*$B$145)</f>
        <v>#N/A</v>
      </c>
      <c r="C153" s="27"/>
      <c r="D153" s="7">
        <f t="shared" ref="D153:D162" si="11">IF(C153="Yes",B153,0)</f>
        <v>0</v>
      </c>
    </row>
    <row r="154" spans="1:14" x14ac:dyDescent="0.3">
      <c r="A154" s="23" t="s">
        <v>6</v>
      </c>
      <c r="B154" s="12" t="e">
        <f t="shared" si="10"/>
        <v>#N/A</v>
      </c>
      <c r="C154" s="27"/>
      <c r="D154" s="7">
        <f t="shared" si="11"/>
        <v>0</v>
      </c>
    </row>
    <row r="155" spans="1:14" x14ac:dyDescent="0.3">
      <c r="A155" s="23" t="s">
        <v>7</v>
      </c>
      <c r="B155" s="12" t="e">
        <f t="shared" si="10"/>
        <v>#N/A</v>
      </c>
      <c r="C155" s="27"/>
      <c r="D155" s="7">
        <f t="shared" si="11"/>
        <v>0</v>
      </c>
    </row>
    <row r="156" spans="1:14" x14ac:dyDescent="0.3">
      <c r="A156" s="23" t="s">
        <v>8</v>
      </c>
      <c r="B156" s="12" t="e">
        <f t="shared" si="10"/>
        <v>#N/A</v>
      </c>
      <c r="C156" s="27"/>
      <c r="D156" s="7">
        <f t="shared" si="11"/>
        <v>0</v>
      </c>
    </row>
    <row r="157" spans="1:14" x14ac:dyDescent="0.3">
      <c r="A157" s="23" t="s">
        <v>9</v>
      </c>
      <c r="B157" s="12" t="e">
        <f t="shared" si="10"/>
        <v>#N/A</v>
      </c>
      <c r="C157" s="27"/>
      <c r="D157" s="7">
        <f t="shared" si="11"/>
        <v>0</v>
      </c>
    </row>
    <row r="158" spans="1:14" x14ac:dyDescent="0.3">
      <c r="A158" s="23" t="s">
        <v>10</v>
      </c>
      <c r="B158" s="12" t="e">
        <f t="shared" si="10"/>
        <v>#N/A</v>
      </c>
      <c r="C158" s="27"/>
      <c r="D158" s="7">
        <f t="shared" si="11"/>
        <v>0</v>
      </c>
    </row>
    <row r="159" spans="1:14" x14ac:dyDescent="0.3">
      <c r="A159" s="23" t="s">
        <v>13</v>
      </c>
      <c r="B159" s="12" t="e">
        <f t="shared" si="10"/>
        <v>#N/A</v>
      </c>
      <c r="C159" s="27"/>
      <c r="D159" s="7">
        <f t="shared" si="11"/>
        <v>0</v>
      </c>
    </row>
    <row r="160" spans="1:14" x14ac:dyDescent="0.3">
      <c r="A160" s="23" t="s">
        <v>14</v>
      </c>
      <c r="B160" s="12" t="e">
        <f t="shared" si="10"/>
        <v>#N/A</v>
      </c>
      <c r="C160" s="27"/>
      <c r="D160" s="7">
        <f t="shared" si="11"/>
        <v>0</v>
      </c>
    </row>
    <row r="161" spans="1:6" x14ac:dyDescent="0.3">
      <c r="A161" s="23" t="s">
        <v>15</v>
      </c>
      <c r="B161" s="12" t="e">
        <f t="shared" si="10"/>
        <v>#N/A</v>
      </c>
      <c r="C161" s="27"/>
      <c r="D161" s="7">
        <f t="shared" si="11"/>
        <v>0</v>
      </c>
    </row>
    <row r="162" spans="1:6" x14ac:dyDescent="0.3">
      <c r="A162" s="23" t="s">
        <v>16</v>
      </c>
      <c r="B162" s="12" t="e">
        <f>IF(OR(B143="Rosen Center",B143="Lonoke Ag Center"),0,INDEX(Fixed_Rate_Optional,MATCH(A162,Expense_Item,0),MATCH(B144,Commodity_Item,0))*B147*B148)</f>
        <v>#N/A</v>
      </c>
      <c r="C162" s="27"/>
      <c r="D162" s="7">
        <f t="shared" si="11"/>
        <v>0</v>
      </c>
    </row>
    <row r="163" spans="1:6" x14ac:dyDescent="0.3">
      <c r="A163" s="28" t="s">
        <v>133</v>
      </c>
      <c r="B163" s="298"/>
      <c r="C163" s="299"/>
      <c r="D163" s="300"/>
    </row>
    <row r="164" spans="1:6" x14ac:dyDescent="0.3">
      <c r="A164" s="23" t="s">
        <v>134</v>
      </c>
      <c r="B164" s="12" t="e">
        <f t="shared" ref="B164:B169" si="12">IF(OR($B$143="Rosen Center",$B$143="Lonoke Ag Center"),0,INDEX(Fixed_Rate_Optional,MATCH(A164,Expense_Item,0),MATCH($B$144,Commodity_Item,0))*$B$145)</f>
        <v>#N/A</v>
      </c>
      <c r="C164" s="27"/>
      <c r="D164" s="7">
        <f t="shared" ref="D164:D169" si="13">IF(C164="Yes",B164,0)</f>
        <v>0</v>
      </c>
    </row>
    <row r="165" spans="1:6" x14ac:dyDescent="0.3">
      <c r="A165" s="23" t="s">
        <v>135</v>
      </c>
      <c r="B165" s="12" t="e">
        <f t="shared" si="12"/>
        <v>#N/A</v>
      </c>
      <c r="C165" s="27"/>
      <c r="D165" s="7">
        <f t="shared" si="13"/>
        <v>0</v>
      </c>
    </row>
    <row r="166" spans="1:6" x14ac:dyDescent="0.3">
      <c r="A166" s="23" t="s">
        <v>136</v>
      </c>
      <c r="B166" s="12" t="e">
        <f t="shared" si="12"/>
        <v>#N/A</v>
      </c>
      <c r="C166" s="27"/>
      <c r="D166" s="7">
        <f t="shared" si="13"/>
        <v>0</v>
      </c>
    </row>
    <row r="167" spans="1:6" x14ac:dyDescent="0.3">
      <c r="A167" s="23" t="s">
        <v>137</v>
      </c>
      <c r="B167" s="12" t="e">
        <f t="shared" si="12"/>
        <v>#N/A</v>
      </c>
      <c r="C167" s="27"/>
      <c r="D167" s="7">
        <f t="shared" si="13"/>
        <v>0</v>
      </c>
    </row>
    <row r="168" spans="1:6" x14ac:dyDescent="0.3">
      <c r="A168" s="23" t="s">
        <v>138</v>
      </c>
      <c r="B168" s="12" t="e">
        <f t="shared" si="12"/>
        <v>#N/A</v>
      </c>
      <c r="C168" s="27"/>
      <c r="D168" s="7">
        <f t="shared" si="13"/>
        <v>0</v>
      </c>
    </row>
    <row r="169" spans="1:6" x14ac:dyDescent="0.3">
      <c r="A169" s="23" t="s">
        <v>139</v>
      </c>
      <c r="B169" s="12" t="e">
        <f t="shared" si="12"/>
        <v>#N/A</v>
      </c>
      <c r="C169" s="27"/>
      <c r="D169" s="7">
        <f t="shared" si="13"/>
        <v>0</v>
      </c>
    </row>
    <row r="170" spans="1:6" x14ac:dyDescent="0.3">
      <c r="A170" s="28" t="str">
        <f>B143&amp;" Total"</f>
        <v xml:space="preserve"> Total</v>
      </c>
      <c r="B170" s="121"/>
      <c r="C170" s="20"/>
      <c r="D170" s="26" t="e">
        <f>SUM(D151,D153:D162,D164:D169)</f>
        <v>#N/A</v>
      </c>
    </row>
    <row r="171" spans="1:6" ht="15.75" customHeight="1" x14ac:dyDescent="0.3">
      <c r="A171" s="28" t="s">
        <v>460</v>
      </c>
      <c r="B171" s="29" t="s">
        <v>464</v>
      </c>
      <c r="C171" s="29" t="s">
        <v>466</v>
      </c>
      <c r="D171" s="29" t="s">
        <v>465</v>
      </c>
      <c r="E171" s="29" t="s">
        <v>111</v>
      </c>
    </row>
    <row r="172" spans="1:6" x14ac:dyDescent="0.3">
      <c r="A172" s="68" t="s">
        <v>457</v>
      </c>
      <c r="B172" s="132">
        <f>Greenhouse_Rate</f>
        <v>1</v>
      </c>
      <c r="C172" s="137">
        <f>IF(OR(B143="Lonoke Ag Center",B143="RIRE, Stuttgart",B143="Rosen Center"),E144,0)</f>
        <v>0</v>
      </c>
      <c r="D172" s="136">
        <f>IF(OR(B143="Lonoke Ag Center",B143="RIRE, Stuttgart",B143="Rosen Center"),F144,0)</f>
        <v>0</v>
      </c>
      <c r="E172" s="135">
        <f>C172*D172*B172</f>
        <v>0</v>
      </c>
    </row>
    <row r="173" spans="1:6" x14ac:dyDescent="0.3">
      <c r="A173" s="68" t="s">
        <v>458</v>
      </c>
      <c r="B173" s="132">
        <f>Growth_Chamber_Rate</f>
        <v>6.8</v>
      </c>
      <c r="C173" s="137">
        <f>IF(OR(B143="RIRE, Stuttgart",B143="Rosen Center"),E145,0)</f>
        <v>0</v>
      </c>
      <c r="D173" s="136">
        <f>IF(OR(B143="RIRE, Stuttgart",B143="Rosen Center"),F145,0)</f>
        <v>0</v>
      </c>
      <c r="E173" s="135">
        <f>C173*D173*B173</f>
        <v>0</v>
      </c>
    </row>
    <row r="174" spans="1:6" x14ac:dyDescent="0.3">
      <c r="A174" s="68" t="s">
        <v>459</v>
      </c>
      <c r="B174" s="132">
        <f>Quarantine_Rate</f>
        <v>1.1000000000000001</v>
      </c>
      <c r="C174" s="137">
        <f>IF(B143="Rosen Center",E146,0)</f>
        <v>0</v>
      </c>
      <c r="D174" s="136">
        <f>IF(B143="Rosen Center",F146,0)</f>
        <v>0</v>
      </c>
      <c r="E174" s="135">
        <f>C174*D174*B174</f>
        <v>0</v>
      </c>
    </row>
    <row r="175" spans="1:6" x14ac:dyDescent="0.3">
      <c r="A175" s="130" t="s">
        <v>111</v>
      </c>
      <c r="B175" s="144"/>
      <c r="C175" s="137">
        <f>SUM(C172:C174)</f>
        <v>0</v>
      </c>
      <c r="D175" s="136">
        <f>SUM(D172:D174)</f>
        <v>0</v>
      </c>
      <c r="E175" s="26">
        <f t="shared" ref="E175" si="14">SUM(E172:E174)</f>
        <v>0</v>
      </c>
    </row>
    <row r="176" spans="1:6" x14ac:dyDescent="0.3">
      <c r="A176" s="254" t="s">
        <v>229</v>
      </c>
      <c r="B176" s="255"/>
      <c r="C176" s="255"/>
      <c r="D176" s="255"/>
      <c r="E176" s="255"/>
      <c r="F176" s="255"/>
    </row>
    <row r="177" spans="1:6" x14ac:dyDescent="0.3">
      <c r="A177" s="68" t="s">
        <v>115</v>
      </c>
      <c r="B177" s="278"/>
      <c r="C177" s="278"/>
      <c r="D177" s="278"/>
      <c r="E177" s="278"/>
      <c r="F177" s="278"/>
    </row>
    <row r="178" spans="1:6" x14ac:dyDescent="0.3">
      <c r="A178" s="68" t="s">
        <v>116</v>
      </c>
      <c r="B178" s="289"/>
      <c r="C178" s="289"/>
      <c r="D178" s="289"/>
      <c r="E178" s="289"/>
      <c r="F178" s="289"/>
    </row>
    <row r="179" spans="1:6" x14ac:dyDescent="0.3">
      <c r="A179" s="68" t="s">
        <v>117</v>
      </c>
      <c r="B179" s="258"/>
      <c r="C179" s="258"/>
      <c r="D179" s="258"/>
      <c r="E179" s="258"/>
      <c r="F179" s="258"/>
    </row>
    <row r="180" spans="1:6" x14ac:dyDescent="0.3">
      <c r="A180" s="68" t="s">
        <v>228</v>
      </c>
      <c r="B180" s="258"/>
      <c r="C180" s="258"/>
      <c r="D180" s="258"/>
      <c r="E180" s="258"/>
      <c r="F180" s="258"/>
    </row>
    <row r="181" spans="1:6" x14ac:dyDescent="0.3">
      <c r="A181" s="68" t="s">
        <v>118</v>
      </c>
      <c r="B181" s="257"/>
      <c r="C181" s="258"/>
      <c r="D181" s="258"/>
      <c r="E181" s="258"/>
      <c r="F181" s="258"/>
    </row>
    <row r="182" spans="1:6" x14ac:dyDescent="0.3">
      <c r="A182" s="68" t="s">
        <v>126</v>
      </c>
      <c r="B182" s="277"/>
      <c r="C182" s="277"/>
      <c r="D182" s="277"/>
      <c r="E182" s="277"/>
      <c r="F182" s="277"/>
    </row>
    <row r="183" spans="1:6" x14ac:dyDescent="0.3">
      <c r="A183" s="68" t="s">
        <v>127</v>
      </c>
      <c r="B183" s="277"/>
      <c r="C183" s="277"/>
      <c r="D183" s="277"/>
      <c r="E183" s="277"/>
      <c r="F183" s="277"/>
    </row>
    <row r="184" spans="1:6" x14ac:dyDescent="0.3">
      <c r="A184" s="68" t="s">
        <v>119</v>
      </c>
      <c r="B184" s="277"/>
      <c r="C184" s="277"/>
      <c r="D184" s="277"/>
      <c r="E184" s="277"/>
      <c r="F184" s="277"/>
    </row>
    <row r="185" spans="1:6" x14ac:dyDescent="0.3">
      <c r="A185" s="290" t="s">
        <v>120</v>
      </c>
      <c r="B185" s="286"/>
      <c r="C185" s="287"/>
      <c r="D185" s="287"/>
      <c r="E185" s="287"/>
      <c r="F185" s="288"/>
    </row>
    <row r="186" spans="1:6" x14ac:dyDescent="0.3">
      <c r="A186" s="291"/>
      <c r="B186" s="240"/>
      <c r="C186" s="241"/>
      <c r="D186" s="241"/>
      <c r="E186" s="241"/>
      <c r="F186" s="242"/>
    </row>
    <row r="187" spans="1:6" x14ac:dyDescent="0.3">
      <c r="A187" s="291"/>
      <c r="B187" s="240"/>
      <c r="C187" s="241"/>
      <c r="D187" s="241"/>
      <c r="E187" s="241"/>
      <c r="F187" s="242"/>
    </row>
    <row r="188" spans="1:6" x14ac:dyDescent="0.3">
      <c r="A188" s="291"/>
      <c r="B188" s="240"/>
      <c r="C188" s="241"/>
      <c r="D188" s="241"/>
      <c r="E188" s="241"/>
      <c r="F188" s="242"/>
    </row>
    <row r="189" spans="1:6" x14ac:dyDescent="0.3">
      <c r="A189" s="291"/>
      <c r="B189" s="240"/>
      <c r="C189" s="241"/>
      <c r="D189" s="241"/>
      <c r="E189" s="241"/>
      <c r="F189" s="242"/>
    </row>
    <row r="190" spans="1:6" x14ac:dyDescent="0.3">
      <c r="A190" s="291"/>
      <c r="B190" s="240"/>
      <c r="C190" s="241"/>
      <c r="D190" s="241"/>
      <c r="E190" s="241"/>
      <c r="F190" s="242"/>
    </row>
    <row r="191" spans="1:6" x14ac:dyDescent="0.3">
      <c r="A191" s="291"/>
      <c r="B191" s="240"/>
      <c r="C191" s="241"/>
      <c r="D191" s="241"/>
      <c r="E191" s="241"/>
      <c r="F191" s="242"/>
    </row>
    <row r="192" spans="1:6" x14ac:dyDescent="0.3">
      <c r="A192" s="291"/>
      <c r="B192" s="240"/>
      <c r="C192" s="241"/>
      <c r="D192" s="241"/>
      <c r="E192" s="241"/>
      <c r="F192" s="242"/>
    </row>
    <row r="193" spans="1:6" x14ac:dyDescent="0.3">
      <c r="A193" s="292"/>
      <c r="B193" s="285"/>
      <c r="C193" s="285"/>
      <c r="D193" s="285"/>
      <c r="E193" s="285"/>
      <c r="F193" s="285"/>
    </row>
    <row r="194" spans="1:6" x14ac:dyDescent="0.3">
      <c r="A194" s="73" t="s">
        <v>121</v>
      </c>
      <c r="B194" s="249" t="s">
        <v>230</v>
      </c>
      <c r="C194" s="249"/>
      <c r="D194" s="18"/>
      <c r="E194" s="283"/>
      <c r="F194" s="284"/>
    </row>
    <row r="195" spans="1:6" x14ac:dyDescent="0.3">
      <c r="A195" s="68" t="s">
        <v>231</v>
      </c>
      <c r="B195" s="243"/>
      <c r="C195" s="244"/>
      <c r="D195" s="244"/>
      <c r="E195" s="244"/>
      <c r="F195" s="245"/>
    </row>
    <row r="196" spans="1:6" x14ac:dyDescent="0.3">
      <c r="A196" s="73" t="s">
        <v>122</v>
      </c>
      <c r="B196" s="249" t="s">
        <v>230</v>
      </c>
      <c r="C196" s="249"/>
      <c r="D196" s="18"/>
      <c r="E196" s="283"/>
      <c r="F196" s="284"/>
    </row>
    <row r="197" spans="1:6" x14ac:dyDescent="0.3">
      <c r="A197" s="75" t="s">
        <v>232</v>
      </c>
      <c r="B197" s="243"/>
      <c r="C197" s="244"/>
      <c r="D197" s="244"/>
      <c r="E197" s="244"/>
      <c r="F197" s="245"/>
    </row>
    <row r="198" spans="1:6" x14ac:dyDescent="0.3">
      <c r="A198" s="73" t="s">
        <v>123</v>
      </c>
      <c r="B198" s="249" t="s">
        <v>230</v>
      </c>
      <c r="C198" s="249"/>
      <c r="D198" s="18"/>
      <c r="E198" s="283"/>
      <c r="F198" s="284"/>
    </row>
    <row r="199" spans="1:6" x14ac:dyDescent="0.3">
      <c r="A199" s="75" t="s">
        <v>233</v>
      </c>
      <c r="B199" s="243"/>
      <c r="C199" s="244"/>
      <c r="D199" s="244"/>
      <c r="E199" s="244"/>
      <c r="F199" s="245"/>
    </row>
    <row r="200" spans="1:6" x14ac:dyDescent="0.3">
      <c r="A200" s="73" t="s">
        <v>124</v>
      </c>
      <c r="B200" s="249" t="s">
        <v>230</v>
      </c>
      <c r="C200" s="249"/>
      <c r="D200" s="18"/>
      <c r="E200" s="283"/>
      <c r="F200" s="284"/>
    </row>
    <row r="201" spans="1:6" x14ac:dyDescent="0.3">
      <c r="A201" s="75" t="s">
        <v>234</v>
      </c>
      <c r="B201" s="243"/>
      <c r="C201" s="244"/>
      <c r="D201" s="244"/>
      <c r="E201" s="244"/>
      <c r="F201" s="245"/>
    </row>
    <row r="202" spans="1:6" x14ac:dyDescent="0.3">
      <c r="A202" s="73" t="s">
        <v>125</v>
      </c>
      <c r="B202" s="76" t="s">
        <v>119</v>
      </c>
      <c r="C202" s="20" t="s">
        <v>128</v>
      </c>
      <c r="D202" s="246"/>
      <c r="E202" s="247"/>
      <c r="F202" s="248"/>
    </row>
    <row r="203" spans="1:6" x14ac:dyDescent="0.3">
      <c r="A203" s="75" t="s">
        <v>235</v>
      </c>
      <c r="B203" s="243"/>
      <c r="C203" s="244"/>
      <c r="D203" s="244"/>
      <c r="E203" s="244"/>
      <c r="F203" s="245"/>
    </row>
    <row r="204" spans="1:6" x14ac:dyDescent="0.3">
      <c r="A204" s="72" t="s">
        <v>129</v>
      </c>
      <c r="B204" s="279"/>
      <c r="C204" s="280"/>
      <c r="D204" s="280"/>
      <c r="E204" s="280"/>
      <c r="F204" s="281"/>
    </row>
    <row r="205" spans="1:6" x14ac:dyDescent="0.3">
      <c r="A205" s="72" t="s">
        <v>130</v>
      </c>
      <c r="B205" s="279"/>
      <c r="C205" s="280"/>
      <c r="D205" s="280"/>
      <c r="E205" s="280"/>
      <c r="F205" s="281"/>
    </row>
    <row r="206" spans="1:6" x14ac:dyDescent="0.3">
      <c r="A206" s="77" t="s">
        <v>131</v>
      </c>
      <c r="B206" s="279"/>
      <c r="C206" s="280"/>
      <c r="D206" s="280"/>
      <c r="E206" s="280"/>
      <c r="F206" s="281"/>
    </row>
    <row r="207" spans="1:6" ht="15.75" customHeight="1" thickBot="1" x14ac:dyDescent="0.35"/>
    <row r="208" spans="1:6" ht="20.100000000000001" customHeight="1" thickTop="1" thickBot="1" x14ac:dyDescent="0.35">
      <c r="A208" s="301" t="s">
        <v>212</v>
      </c>
      <c r="B208" s="301"/>
      <c r="C208" s="301"/>
      <c r="D208" s="301"/>
      <c r="E208" s="301"/>
      <c r="F208" s="301"/>
    </row>
    <row r="209" spans="1:7" ht="55.5" customHeight="1" thickTop="1" x14ac:dyDescent="0.3">
      <c r="A209"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303"/>
      <c r="C209" s="304"/>
      <c r="D209"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209" s="294"/>
      <c r="F209" s="295"/>
    </row>
    <row r="210" spans="1:7" ht="18.75" customHeight="1" x14ac:dyDescent="0.3">
      <c r="A210" s="231" t="s">
        <v>208</v>
      </c>
      <c r="B210" s="231"/>
      <c r="C210" s="231"/>
      <c r="D210" s="254" t="s">
        <v>456</v>
      </c>
      <c r="E210" s="255"/>
      <c r="F210" s="256"/>
    </row>
    <row r="211" spans="1:7" x14ac:dyDescent="0.3">
      <c r="A211" s="58" t="s">
        <v>182</v>
      </c>
      <c r="B211" s="222"/>
      <c r="C211" s="222"/>
      <c r="D211" s="73" t="s">
        <v>455</v>
      </c>
      <c r="E211" s="73" t="s">
        <v>451</v>
      </c>
      <c r="F211" s="73" t="s">
        <v>452</v>
      </c>
    </row>
    <row r="212" spans="1:7" x14ac:dyDescent="0.3">
      <c r="A212" s="58" t="s">
        <v>201</v>
      </c>
      <c r="B212" s="222"/>
      <c r="C212" s="222"/>
      <c r="D212" s="73" t="s">
        <v>448</v>
      </c>
      <c r="E212" s="156"/>
      <c r="F212" s="157"/>
      <c r="G212" s="113" t="str">
        <f>IF(AND(E212+F212&gt;0,$B$211&lt;&gt;"RIRE, Stuttgart",$B$211&lt;&gt;"Rosen Center",$B$211&lt;&gt;"Lonoke Ag Center"),"* Error - facility not available at selected Research Station","")</f>
        <v/>
      </c>
    </row>
    <row r="213" spans="1:7" x14ac:dyDescent="0.3">
      <c r="A213" s="58" t="s">
        <v>183</v>
      </c>
      <c r="B213" s="260"/>
      <c r="C213" s="260"/>
      <c r="D213" s="73" t="s">
        <v>449</v>
      </c>
      <c r="E213" s="156"/>
      <c r="F213" s="158"/>
      <c r="G213" s="113" t="str">
        <f>IF(AND(E213+F213&gt;0,$B$211&lt;&gt;"RIRE, Stuttgart",$B$211&lt;&gt;"Rosen Center"),"* Error - facility not available at selected Research Station","")</f>
        <v/>
      </c>
    </row>
    <row r="214" spans="1:7" x14ac:dyDescent="0.3">
      <c r="A214" s="58" t="s">
        <v>184</v>
      </c>
      <c r="B214" s="260"/>
      <c r="C214" s="260"/>
      <c r="D214" s="73" t="s">
        <v>450</v>
      </c>
      <c r="E214" s="156"/>
      <c r="F214" s="158"/>
      <c r="G214" s="113" t="str">
        <f>IF(AND(E214+F214&gt;0,$B$211&lt;&gt;"Rosen Center"),"* Error - facility not available at selected Research Station","")</f>
        <v/>
      </c>
    </row>
    <row r="215" spans="1:7" ht="15.75" customHeight="1" x14ac:dyDescent="0.3">
      <c r="A215" s="58" t="s">
        <v>185</v>
      </c>
      <c r="B215" s="260"/>
      <c r="C215" s="260"/>
      <c r="D215" s="263" t="str">
        <f>IF(OR(G212="* Error - facility not available at selected Research Station",G213="* Error - facility not available at selected Research Station",G214="* Error - facility not available at selected Research Station"),"See error message(s)","")</f>
        <v/>
      </c>
      <c r="E215" s="272"/>
      <c r="F215" s="273"/>
    </row>
    <row r="216" spans="1:7" x14ac:dyDescent="0.3">
      <c r="A216" s="58" t="s">
        <v>186</v>
      </c>
      <c r="B216" s="260"/>
      <c r="C216" s="260"/>
      <c r="D216" s="274"/>
      <c r="E216" s="275"/>
      <c r="F216" s="276"/>
    </row>
    <row r="217" spans="1:7" ht="75.75" customHeight="1" x14ac:dyDescent="0.3">
      <c r="A217" s="282" t="s">
        <v>336</v>
      </c>
      <c r="B217" s="282"/>
      <c r="C217" s="282"/>
      <c r="D217" s="282"/>
      <c r="E217" s="282"/>
      <c r="F217" s="282"/>
    </row>
    <row r="218" spans="1:7" ht="31.2" x14ac:dyDescent="0.3">
      <c r="A218" s="29" t="s">
        <v>11</v>
      </c>
      <c r="B218" s="29" t="s">
        <v>114</v>
      </c>
      <c r="C218" s="159" t="s">
        <v>141</v>
      </c>
      <c r="D218" s="29" t="s">
        <v>132</v>
      </c>
    </row>
    <row r="219" spans="1:7" x14ac:dyDescent="0.3">
      <c r="A219" s="23" t="s">
        <v>113</v>
      </c>
      <c r="B219" s="7" t="e">
        <f>IF(OR(B211="Rosen Center",B211="Lonoke Ag Center"),0,IF(B211&lt;&gt;"RIRE, Stuttgart",HLOOKUP(B212,Fixed_Rate_Optional,2,FALSE)*B213,100*B213))</f>
        <v>#N/A</v>
      </c>
      <c r="C219" s="13" t="s">
        <v>112</v>
      </c>
      <c r="D219" s="119" t="e">
        <f t="shared" ref="D219" si="15">IF(C219="Yes",B219,0)</f>
        <v>#N/A</v>
      </c>
    </row>
    <row r="220" spans="1:7" x14ac:dyDescent="0.3">
      <c r="A220" s="28" t="s">
        <v>140</v>
      </c>
      <c r="B220" s="24"/>
      <c r="C220" s="24"/>
      <c r="D220" s="25"/>
    </row>
    <row r="221" spans="1:7" x14ac:dyDescent="0.3">
      <c r="A221" s="23" t="s">
        <v>5</v>
      </c>
      <c r="B221" s="12" t="e">
        <f t="shared" ref="B221:B229" si="16">IF(OR($B$211="Rosen Center",$B$211="Lonoke Ag Center"),0,INDEX(Fixed_Rate_Optional,MATCH(A221,Expense_Item,0),MATCH($B$212,Commodity_Item,0))*$B$213)</f>
        <v>#N/A</v>
      </c>
      <c r="C221" s="27"/>
      <c r="D221" s="7">
        <f t="shared" ref="D221:D230" si="17">IF(C221="Yes",B221,0)</f>
        <v>0</v>
      </c>
    </row>
    <row r="222" spans="1:7" x14ac:dyDescent="0.3">
      <c r="A222" s="23" t="s">
        <v>6</v>
      </c>
      <c r="B222" s="12" t="e">
        <f t="shared" si="16"/>
        <v>#N/A</v>
      </c>
      <c r="C222" s="27"/>
      <c r="D222" s="7">
        <f t="shared" si="17"/>
        <v>0</v>
      </c>
    </row>
    <row r="223" spans="1:7" x14ac:dyDescent="0.3">
      <c r="A223" s="23" t="s">
        <v>7</v>
      </c>
      <c r="B223" s="12" t="e">
        <f t="shared" si="16"/>
        <v>#N/A</v>
      </c>
      <c r="C223" s="27"/>
      <c r="D223" s="7">
        <f t="shared" si="17"/>
        <v>0</v>
      </c>
    </row>
    <row r="224" spans="1:7" x14ac:dyDescent="0.3">
      <c r="A224" s="23" t="s">
        <v>8</v>
      </c>
      <c r="B224" s="12" t="e">
        <f t="shared" si="16"/>
        <v>#N/A</v>
      </c>
      <c r="C224" s="27"/>
      <c r="D224" s="7">
        <f t="shared" si="17"/>
        <v>0</v>
      </c>
    </row>
    <row r="225" spans="1:5" x14ac:dyDescent="0.3">
      <c r="A225" s="23" t="s">
        <v>9</v>
      </c>
      <c r="B225" s="12" t="e">
        <f t="shared" si="16"/>
        <v>#N/A</v>
      </c>
      <c r="C225" s="27"/>
      <c r="D225" s="7">
        <f t="shared" si="17"/>
        <v>0</v>
      </c>
    </row>
    <row r="226" spans="1:5" x14ac:dyDescent="0.3">
      <c r="A226" s="23" t="s">
        <v>10</v>
      </c>
      <c r="B226" s="12" t="e">
        <f t="shared" si="16"/>
        <v>#N/A</v>
      </c>
      <c r="C226" s="27"/>
      <c r="D226" s="7">
        <f t="shared" si="17"/>
        <v>0</v>
      </c>
    </row>
    <row r="227" spans="1:5" x14ac:dyDescent="0.3">
      <c r="A227" s="23" t="s">
        <v>13</v>
      </c>
      <c r="B227" s="12" t="e">
        <f t="shared" si="16"/>
        <v>#N/A</v>
      </c>
      <c r="C227" s="27"/>
      <c r="D227" s="7">
        <f t="shared" si="17"/>
        <v>0</v>
      </c>
    </row>
    <row r="228" spans="1:5" x14ac:dyDescent="0.3">
      <c r="A228" s="23" t="s">
        <v>14</v>
      </c>
      <c r="B228" s="12" t="e">
        <f t="shared" si="16"/>
        <v>#N/A</v>
      </c>
      <c r="C228" s="27"/>
      <c r="D228" s="7">
        <f t="shared" si="17"/>
        <v>0</v>
      </c>
    </row>
    <row r="229" spans="1:5" x14ac:dyDescent="0.3">
      <c r="A229" s="23" t="s">
        <v>15</v>
      </c>
      <c r="B229" s="12" t="e">
        <f t="shared" si="16"/>
        <v>#N/A</v>
      </c>
      <c r="C229" s="27"/>
      <c r="D229" s="7">
        <f t="shared" si="17"/>
        <v>0</v>
      </c>
    </row>
    <row r="230" spans="1:5" x14ac:dyDescent="0.3">
      <c r="A230" s="23" t="s">
        <v>16</v>
      </c>
      <c r="B230" s="12" t="e">
        <f>IF(OR(B211="Rosen Center",B211="Lonoke Ag Center"),0,INDEX(Fixed_Rate_Optional,MATCH(A230,Expense_Item,0),MATCH(B212,Commodity_Item,0))*B215*B216)</f>
        <v>#N/A</v>
      </c>
      <c r="C230" s="27"/>
      <c r="D230" s="7">
        <f t="shared" si="17"/>
        <v>0</v>
      </c>
    </row>
    <row r="231" spans="1:5" x14ac:dyDescent="0.3">
      <c r="A231" s="28" t="s">
        <v>133</v>
      </c>
      <c r="B231" s="298"/>
      <c r="C231" s="299"/>
      <c r="D231" s="300"/>
    </row>
    <row r="232" spans="1:5" x14ac:dyDescent="0.3">
      <c r="A232" s="23" t="s">
        <v>134</v>
      </c>
      <c r="B232" s="12" t="e">
        <f t="shared" ref="B232:B237" si="18">IF(OR($B$211="Rosen Center",$B$211="Lonoke Ag Center"),0,INDEX(Fixed_Rate_Optional,MATCH(A232,Expense_Item,0),MATCH($B$212,Commodity_Item,0))*$B$213)</f>
        <v>#N/A</v>
      </c>
      <c r="C232" s="27"/>
      <c r="D232" s="7">
        <f t="shared" ref="D232:D237" si="19">IF(C232="Yes",B232,0)</f>
        <v>0</v>
      </c>
    </row>
    <row r="233" spans="1:5" x14ac:dyDescent="0.3">
      <c r="A233" s="23" t="s">
        <v>135</v>
      </c>
      <c r="B233" s="12" t="e">
        <f t="shared" si="18"/>
        <v>#N/A</v>
      </c>
      <c r="C233" s="27"/>
      <c r="D233" s="7">
        <f t="shared" si="19"/>
        <v>0</v>
      </c>
    </row>
    <row r="234" spans="1:5" x14ac:dyDescent="0.3">
      <c r="A234" s="23" t="s">
        <v>136</v>
      </c>
      <c r="B234" s="12" t="e">
        <f t="shared" si="18"/>
        <v>#N/A</v>
      </c>
      <c r="C234" s="27"/>
      <c r="D234" s="7">
        <f t="shared" si="19"/>
        <v>0</v>
      </c>
    </row>
    <row r="235" spans="1:5" x14ac:dyDescent="0.3">
      <c r="A235" s="23" t="s">
        <v>137</v>
      </c>
      <c r="B235" s="12" t="e">
        <f t="shared" si="18"/>
        <v>#N/A</v>
      </c>
      <c r="C235" s="27"/>
      <c r="D235" s="7">
        <f t="shared" si="19"/>
        <v>0</v>
      </c>
    </row>
    <row r="236" spans="1:5" x14ac:dyDescent="0.3">
      <c r="A236" s="23" t="s">
        <v>138</v>
      </c>
      <c r="B236" s="12" t="e">
        <f t="shared" si="18"/>
        <v>#N/A</v>
      </c>
      <c r="C236" s="27"/>
      <c r="D236" s="7">
        <f t="shared" si="19"/>
        <v>0</v>
      </c>
    </row>
    <row r="237" spans="1:5" x14ac:dyDescent="0.3">
      <c r="A237" s="23" t="s">
        <v>139</v>
      </c>
      <c r="B237" s="12" t="e">
        <f t="shared" si="18"/>
        <v>#N/A</v>
      </c>
      <c r="C237" s="27"/>
      <c r="D237" s="7">
        <f t="shared" si="19"/>
        <v>0</v>
      </c>
    </row>
    <row r="238" spans="1:5" x14ac:dyDescent="0.3">
      <c r="A238" s="28" t="str">
        <f>B211&amp;" Total"</f>
        <v xml:space="preserve"> Total</v>
      </c>
      <c r="B238" s="121"/>
      <c r="C238" s="20"/>
      <c r="D238" s="26" t="e">
        <f>SUM(D219,D221:D230,D232:D237)</f>
        <v>#N/A</v>
      </c>
    </row>
    <row r="239" spans="1:5" ht="15.75" customHeight="1" x14ac:dyDescent="0.3">
      <c r="A239" s="28" t="s">
        <v>460</v>
      </c>
      <c r="B239" s="29" t="s">
        <v>464</v>
      </c>
      <c r="C239" s="29" t="s">
        <v>466</v>
      </c>
      <c r="D239" s="29" t="s">
        <v>465</v>
      </c>
      <c r="E239" s="29" t="s">
        <v>111</v>
      </c>
    </row>
    <row r="240" spans="1:5" x14ac:dyDescent="0.3">
      <c r="A240" s="68" t="s">
        <v>457</v>
      </c>
      <c r="B240" s="132">
        <f>Greenhouse_Rate</f>
        <v>1</v>
      </c>
      <c r="C240" s="137">
        <f>IF(OR(B211="Lonoke Ag Center",B211="RIRE, Stuttgart",B211="Rosen Center"),E212,0)</f>
        <v>0</v>
      </c>
      <c r="D240" s="136">
        <f>IF(OR(B211="Lonoke Ag Center",B211="RIRE, Stuttgart",B211="Rosen Center"),F212,0)</f>
        <v>0</v>
      </c>
      <c r="E240" s="135">
        <f>C240*D240*B240</f>
        <v>0</v>
      </c>
    </row>
    <row r="241" spans="1:6" x14ac:dyDescent="0.3">
      <c r="A241" s="68" t="s">
        <v>458</v>
      </c>
      <c r="B241" s="132">
        <f>Growth_Chamber_Rate</f>
        <v>6.8</v>
      </c>
      <c r="C241" s="137">
        <f>IF(OR(B211="RIRE, Stuttgart",B211="Rosen Center"),E213,0)</f>
        <v>0</v>
      </c>
      <c r="D241" s="136">
        <f>IF(OR(B211="RIRE, Stuttgart",B211="Rosen Center"),F213,0)</f>
        <v>0</v>
      </c>
      <c r="E241" s="135">
        <f>C241*D241*B241</f>
        <v>0</v>
      </c>
    </row>
    <row r="242" spans="1:6" x14ac:dyDescent="0.3">
      <c r="A242" s="68" t="s">
        <v>459</v>
      </c>
      <c r="B242" s="132">
        <f>Quarantine_Rate</f>
        <v>1.1000000000000001</v>
      </c>
      <c r="C242" s="137">
        <f>IF(B211="Rosen Center",E214,0)</f>
        <v>0</v>
      </c>
      <c r="D242" s="136">
        <f>IF(B211="Rosen Center",F214,0)</f>
        <v>0</v>
      </c>
      <c r="E242" s="135">
        <f>C242*D242*B242</f>
        <v>0</v>
      </c>
    </row>
    <row r="243" spans="1:6" x14ac:dyDescent="0.3">
      <c r="A243" s="130" t="s">
        <v>111</v>
      </c>
      <c r="B243" s="144"/>
      <c r="C243" s="137">
        <f>SUM(C240:C242)</f>
        <v>0</v>
      </c>
      <c r="D243" s="136">
        <f>SUM(D240:D242)</f>
        <v>0</v>
      </c>
      <c r="E243" s="26">
        <f t="shared" ref="E243" si="20">SUM(E240:E242)</f>
        <v>0</v>
      </c>
    </row>
    <row r="244" spans="1:6" x14ac:dyDescent="0.3">
      <c r="A244" s="254" t="s">
        <v>229</v>
      </c>
      <c r="B244" s="255"/>
      <c r="C244" s="255"/>
      <c r="D244" s="255"/>
      <c r="E244" s="255"/>
      <c r="F244" s="255"/>
    </row>
    <row r="245" spans="1:6" x14ac:dyDescent="0.3">
      <c r="A245" s="68" t="s">
        <v>115</v>
      </c>
      <c r="B245" s="278"/>
      <c r="C245" s="278"/>
      <c r="D245" s="278"/>
      <c r="E245" s="278"/>
      <c r="F245" s="278"/>
    </row>
    <row r="246" spans="1:6" x14ac:dyDescent="0.3">
      <c r="A246" s="68" t="s">
        <v>116</v>
      </c>
      <c r="B246" s="289"/>
      <c r="C246" s="289"/>
      <c r="D246" s="289"/>
      <c r="E246" s="289"/>
      <c r="F246" s="289"/>
    </row>
    <row r="247" spans="1:6" x14ac:dyDescent="0.3">
      <c r="A247" s="68" t="s">
        <v>117</v>
      </c>
      <c r="B247" s="258"/>
      <c r="C247" s="258"/>
      <c r="D247" s="258"/>
      <c r="E247" s="258"/>
      <c r="F247" s="258"/>
    </row>
    <row r="248" spans="1:6" x14ac:dyDescent="0.3">
      <c r="A248" s="68" t="s">
        <v>228</v>
      </c>
      <c r="B248" s="258"/>
      <c r="C248" s="258"/>
      <c r="D248" s="258"/>
      <c r="E248" s="258"/>
      <c r="F248" s="258"/>
    </row>
    <row r="249" spans="1:6" x14ac:dyDescent="0.3">
      <c r="A249" s="68" t="s">
        <v>118</v>
      </c>
      <c r="B249" s="257"/>
      <c r="C249" s="258"/>
      <c r="D249" s="258"/>
      <c r="E249" s="258"/>
      <c r="F249" s="258"/>
    </row>
    <row r="250" spans="1:6" x14ac:dyDescent="0.3">
      <c r="A250" s="68" t="s">
        <v>126</v>
      </c>
      <c r="B250" s="277"/>
      <c r="C250" s="277"/>
      <c r="D250" s="277"/>
      <c r="E250" s="277"/>
      <c r="F250" s="277"/>
    </row>
    <row r="251" spans="1:6" x14ac:dyDescent="0.3">
      <c r="A251" s="68" t="s">
        <v>127</v>
      </c>
      <c r="B251" s="277"/>
      <c r="C251" s="277"/>
      <c r="D251" s="277"/>
      <c r="E251" s="277"/>
      <c r="F251" s="277"/>
    </row>
    <row r="252" spans="1:6" x14ac:dyDescent="0.3">
      <c r="A252" s="68" t="s">
        <v>119</v>
      </c>
      <c r="B252" s="277"/>
      <c r="C252" s="277"/>
      <c r="D252" s="277"/>
      <c r="E252" s="277"/>
      <c r="F252" s="277"/>
    </row>
    <row r="253" spans="1:6" x14ac:dyDescent="0.3">
      <c r="A253" s="290" t="s">
        <v>120</v>
      </c>
      <c r="B253" s="286"/>
      <c r="C253" s="287"/>
      <c r="D253" s="287"/>
      <c r="E253" s="287"/>
      <c r="F253" s="288"/>
    </row>
    <row r="254" spans="1:6" x14ac:dyDescent="0.3">
      <c r="A254" s="291"/>
      <c r="B254" s="240"/>
      <c r="C254" s="241"/>
      <c r="D254" s="241"/>
      <c r="E254" s="241"/>
      <c r="F254" s="242"/>
    </row>
    <row r="255" spans="1:6" x14ac:dyDescent="0.3">
      <c r="A255" s="291"/>
      <c r="B255" s="240"/>
      <c r="C255" s="241"/>
      <c r="D255" s="241"/>
      <c r="E255" s="241"/>
      <c r="F255" s="242"/>
    </row>
    <row r="256" spans="1:6" x14ac:dyDescent="0.3">
      <c r="A256" s="291"/>
      <c r="B256" s="240"/>
      <c r="C256" s="241"/>
      <c r="D256" s="241"/>
      <c r="E256" s="241"/>
      <c r="F256" s="242"/>
    </row>
    <row r="257" spans="1:6" x14ac:dyDescent="0.3">
      <c r="A257" s="291"/>
      <c r="B257" s="240"/>
      <c r="C257" s="241"/>
      <c r="D257" s="241"/>
      <c r="E257" s="241"/>
      <c r="F257" s="242"/>
    </row>
    <row r="258" spans="1:6" x14ac:dyDescent="0.3">
      <c r="A258" s="291"/>
      <c r="B258" s="240"/>
      <c r="C258" s="241"/>
      <c r="D258" s="241"/>
      <c r="E258" s="241"/>
      <c r="F258" s="242"/>
    </row>
    <row r="259" spans="1:6" x14ac:dyDescent="0.3">
      <c r="A259" s="291"/>
      <c r="B259" s="240"/>
      <c r="C259" s="241"/>
      <c r="D259" s="241"/>
      <c r="E259" s="241"/>
      <c r="F259" s="242"/>
    </row>
    <row r="260" spans="1:6" x14ac:dyDescent="0.3">
      <c r="A260" s="291"/>
      <c r="B260" s="240"/>
      <c r="C260" s="241"/>
      <c r="D260" s="241"/>
      <c r="E260" s="241"/>
      <c r="F260" s="242"/>
    </row>
    <row r="261" spans="1:6" x14ac:dyDescent="0.3">
      <c r="A261" s="292"/>
      <c r="B261" s="285"/>
      <c r="C261" s="285"/>
      <c r="D261" s="285"/>
      <c r="E261" s="285"/>
      <c r="F261" s="285"/>
    </row>
    <row r="262" spans="1:6" x14ac:dyDescent="0.3">
      <c r="A262" s="73" t="s">
        <v>121</v>
      </c>
      <c r="B262" s="249" t="s">
        <v>230</v>
      </c>
      <c r="C262" s="249"/>
      <c r="D262" s="18"/>
      <c r="E262" s="283"/>
      <c r="F262" s="284"/>
    </row>
    <row r="263" spans="1:6" x14ac:dyDescent="0.3">
      <c r="A263" s="68" t="s">
        <v>231</v>
      </c>
      <c r="B263" s="243"/>
      <c r="C263" s="244"/>
      <c r="D263" s="244"/>
      <c r="E263" s="244"/>
      <c r="F263" s="245"/>
    </row>
    <row r="264" spans="1:6" x14ac:dyDescent="0.3">
      <c r="A264" s="73" t="s">
        <v>122</v>
      </c>
      <c r="B264" s="249" t="s">
        <v>230</v>
      </c>
      <c r="C264" s="249"/>
      <c r="D264" s="18"/>
      <c r="E264" s="283"/>
      <c r="F264" s="284"/>
    </row>
    <row r="265" spans="1:6" x14ac:dyDescent="0.3">
      <c r="A265" s="75" t="s">
        <v>232</v>
      </c>
      <c r="B265" s="243"/>
      <c r="C265" s="244"/>
      <c r="D265" s="244"/>
      <c r="E265" s="244"/>
      <c r="F265" s="245"/>
    </row>
    <row r="266" spans="1:6" x14ac:dyDescent="0.3">
      <c r="A266" s="73" t="s">
        <v>123</v>
      </c>
      <c r="B266" s="249" t="s">
        <v>230</v>
      </c>
      <c r="C266" s="249"/>
      <c r="D266" s="18"/>
      <c r="E266" s="283"/>
      <c r="F266" s="284"/>
    </row>
    <row r="267" spans="1:6" x14ac:dyDescent="0.3">
      <c r="A267" s="75" t="s">
        <v>233</v>
      </c>
      <c r="B267" s="243"/>
      <c r="C267" s="244"/>
      <c r="D267" s="244"/>
      <c r="E267" s="244"/>
      <c r="F267" s="245"/>
    </row>
    <row r="268" spans="1:6" x14ac:dyDescent="0.3">
      <c r="A268" s="73" t="s">
        <v>124</v>
      </c>
      <c r="B268" s="249" t="s">
        <v>230</v>
      </c>
      <c r="C268" s="249"/>
      <c r="D268" s="18"/>
      <c r="E268" s="283"/>
      <c r="F268" s="284"/>
    </row>
    <row r="269" spans="1:6" x14ac:dyDescent="0.3">
      <c r="A269" s="75" t="s">
        <v>234</v>
      </c>
      <c r="B269" s="243"/>
      <c r="C269" s="244"/>
      <c r="D269" s="244"/>
      <c r="E269" s="244"/>
      <c r="F269" s="245"/>
    </row>
    <row r="270" spans="1:6" x14ac:dyDescent="0.3">
      <c r="A270" s="73" t="s">
        <v>125</v>
      </c>
      <c r="B270" s="76" t="s">
        <v>119</v>
      </c>
      <c r="C270" s="20" t="s">
        <v>128</v>
      </c>
      <c r="D270" s="246"/>
      <c r="E270" s="247"/>
      <c r="F270" s="248"/>
    </row>
    <row r="271" spans="1:6" x14ac:dyDescent="0.3">
      <c r="A271" s="75" t="s">
        <v>235</v>
      </c>
      <c r="B271" s="243"/>
      <c r="C271" s="244"/>
      <c r="D271" s="244"/>
      <c r="E271" s="244"/>
      <c r="F271" s="245"/>
    </row>
    <row r="272" spans="1:6" x14ac:dyDescent="0.3">
      <c r="A272" s="72" t="s">
        <v>129</v>
      </c>
      <c r="B272" s="279"/>
      <c r="C272" s="280"/>
      <c r="D272" s="280"/>
      <c r="E272" s="280"/>
      <c r="F272" s="281"/>
    </row>
    <row r="273" spans="1:6" x14ac:dyDescent="0.3">
      <c r="A273" s="72" t="s">
        <v>130</v>
      </c>
      <c r="B273" s="279"/>
      <c r="C273" s="280"/>
      <c r="D273" s="280"/>
      <c r="E273" s="280"/>
      <c r="F273" s="281"/>
    </row>
    <row r="274" spans="1:6" x14ac:dyDescent="0.3">
      <c r="A274" s="77" t="s">
        <v>131</v>
      </c>
      <c r="B274" s="279"/>
      <c r="C274" s="280"/>
      <c r="D274" s="280"/>
      <c r="E274" s="280"/>
      <c r="F274" s="281"/>
    </row>
    <row r="275" spans="1:6" ht="15.75" customHeight="1" x14ac:dyDescent="0.3"/>
    <row r="276" spans="1:6" x14ac:dyDescent="0.3">
      <c r="A276" s="79" t="s">
        <v>227</v>
      </c>
      <c r="B276" s="29" t="s">
        <v>223</v>
      </c>
      <c r="C276" s="29" t="s">
        <v>224</v>
      </c>
      <c r="D276" s="29" t="s">
        <v>225</v>
      </c>
      <c r="E276" s="29" t="s">
        <v>226</v>
      </c>
      <c r="F276" s="29" t="s">
        <v>111</v>
      </c>
    </row>
    <row r="277" spans="1:6" x14ac:dyDescent="0.3">
      <c r="A277" s="68" t="s">
        <v>169</v>
      </c>
      <c r="B277" s="7">
        <f>IF($B$7=A277,$D$34,0)</f>
        <v>0</v>
      </c>
      <c r="C277" s="7">
        <f>IF($B$75=A277,$D$102,0)</f>
        <v>0</v>
      </c>
      <c r="D277" s="7">
        <f>IF($B$143=A277,$D$170,0)</f>
        <v>0</v>
      </c>
      <c r="E277" s="7">
        <f>IF($B$211=A277,$D$238,0)</f>
        <v>0</v>
      </c>
      <c r="F277" s="7">
        <f t="shared" ref="F277:F287" si="21">SUM(B277:E277)</f>
        <v>0</v>
      </c>
    </row>
    <row r="278" spans="1:6" x14ac:dyDescent="0.3">
      <c r="A278" s="68" t="s">
        <v>170</v>
      </c>
      <c r="B278" s="7">
        <f>IF($B$7=A278,$D$34,0)</f>
        <v>0</v>
      </c>
      <c r="C278" s="7">
        <f>IF($B$75=A278,$D$102,0)</f>
        <v>0</v>
      </c>
      <c r="D278" s="7">
        <f>IF($B$143=A278,$D$170,0)</f>
        <v>0</v>
      </c>
      <c r="E278" s="7">
        <f>IF($B$211=A278,$D$238,0)</f>
        <v>0</v>
      </c>
      <c r="F278" s="7">
        <f t="shared" si="21"/>
        <v>0</v>
      </c>
    </row>
    <row r="279" spans="1:6" x14ac:dyDescent="0.3">
      <c r="A279" s="68" t="s">
        <v>171</v>
      </c>
      <c r="B279" s="7">
        <f>IF($B$7=A279,$D$34+$E$39,0)</f>
        <v>0</v>
      </c>
      <c r="C279" s="7">
        <f t="shared" ref="C279" si="22">IF($B$75=A279,$D$102+$E$107,0)</f>
        <v>0</v>
      </c>
      <c r="D279" s="7">
        <f t="shared" ref="D279" si="23">IF($B$143=A279,$D$170+$E$175,0)</f>
        <v>0</v>
      </c>
      <c r="E279" s="7">
        <f t="shared" ref="E279" si="24">IF($B$211=A279,$D$238+$E$243,0)</f>
        <v>0</v>
      </c>
      <c r="F279" s="7">
        <f t="shared" si="21"/>
        <v>0</v>
      </c>
    </row>
    <row r="280" spans="1:6" x14ac:dyDescent="0.3">
      <c r="A280" s="68" t="s">
        <v>172</v>
      </c>
      <c r="B280" s="7">
        <f>IF($B$7=A280,$D$34,0)</f>
        <v>0</v>
      </c>
      <c r="C280" s="7">
        <f>IF($B$75=A280,$D$102,0)</f>
        <v>0</v>
      </c>
      <c r="D280" s="7">
        <f>IF($B$143=A280,$D$170,0)</f>
        <v>0</v>
      </c>
      <c r="E280" s="7">
        <f>IF($B$211=A280,$D$238,0)</f>
        <v>0</v>
      </c>
      <c r="F280" s="7">
        <f t="shared" si="21"/>
        <v>0</v>
      </c>
    </row>
    <row r="281" spans="1:6" x14ac:dyDescent="0.3">
      <c r="A281" s="68" t="s">
        <v>173</v>
      </c>
      <c r="B281" s="7">
        <f>IF($B$7=A281,$D$34,0)</f>
        <v>0</v>
      </c>
      <c r="C281" s="7">
        <f>IF($B$75=A281,$D$102,0)</f>
        <v>0</v>
      </c>
      <c r="D281" s="7">
        <f>IF($B$143=A281,$D$170,0)</f>
        <v>0</v>
      </c>
      <c r="E281" s="7">
        <f>IF($B$211=A281,$D$238,0)</f>
        <v>0</v>
      </c>
      <c r="F281" s="7">
        <f t="shared" si="21"/>
        <v>0</v>
      </c>
    </row>
    <row r="282" spans="1:6" x14ac:dyDescent="0.3">
      <c r="A282" s="68" t="s">
        <v>174</v>
      </c>
      <c r="B282" s="7">
        <f>IF($B$7=A282,$D$34,0)</f>
        <v>0</v>
      </c>
      <c r="C282" s="7">
        <f>IF($B$75=A282,$D$102,0)</f>
        <v>0</v>
      </c>
      <c r="D282" s="7">
        <f>IF($B$143=A282,$D$170,0)</f>
        <v>0</v>
      </c>
      <c r="E282" s="7">
        <f>IF($B$211=A282,$D$238,0)</f>
        <v>0</v>
      </c>
      <c r="F282" s="7">
        <f t="shared" si="21"/>
        <v>0</v>
      </c>
    </row>
    <row r="283" spans="1:6" x14ac:dyDescent="0.3">
      <c r="A283" s="68" t="s">
        <v>175</v>
      </c>
      <c r="B283" s="7">
        <f>IF($B$7=A283,$D$34+$E$39,0)</f>
        <v>0</v>
      </c>
      <c r="C283" s="7">
        <f>IF($B$75=A283,$D$102+$E$107,0)</f>
        <v>0</v>
      </c>
      <c r="D283" s="7">
        <f>IF($B$143=A283,$D$170+$E$175,0)</f>
        <v>0</v>
      </c>
      <c r="E283" s="7">
        <f>IF($B$211=A283,$D$238+$E$243,0)</f>
        <v>0</v>
      </c>
      <c r="F283" s="7">
        <f t="shared" si="21"/>
        <v>0</v>
      </c>
    </row>
    <row r="284" spans="1:6" x14ac:dyDescent="0.3">
      <c r="A284" s="75" t="s">
        <v>447</v>
      </c>
      <c r="B284" s="7">
        <f t="shared" ref="B284" si="25">IF($B$7=A284,$D$34+$E$39,0)</f>
        <v>0</v>
      </c>
      <c r="C284" s="7">
        <f t="shared" ref="C284" si="26">IF($B$75=A284,$D$102+$E$107,0)</f>
        <v>0</v>
      </c>
      <c r="D284" s="7">
        <f t="shared" ref="D284" si="27">IF($B$143=A284,$D$170+$E$175,0)</f>
        <v>0</v>
      </c>
      <c r="E284" s="7">
        <f t="shared" ref="E284" si="28">IF($B$211=A284,$D$238+$E$243,0)</f>
        <v>0</v>
      </c>
      <c r="F284" s="7">
        <f t="shared" ref="F284" si="29">SUM(B284:E284)</f>
        <v>0</v>
      </c>
    </row>
    <row r="285" spans="1:6" x14ac:dyDescent="0.3">
      <c r="A285" s="68" t="s">
        <v>176</v>
      </c>
      <c r="B285" s="7">
        <f>IF($B$7=A285,$D$34,0)</f>
        <v>0</v>
      </c>
      <c r="C285" s="7">
        <f>IF($B$75=A285,$D$102,0)</f>
        <v>0</v>
      </c>
      <c r="D285" s="7">
        <f>IF($B$143=A285,$D$170,0)</f>
        <v>0</v>
      </c>
      <c r="E285" s="7">
        <f>IF($B$211=A285,$D$238,0)</f>
        <v>0</v>
      </c>
      <c r="F285" s="7">
        <f t="shared" si="21"/>
        <v>0</v>
      </c>
    </row>
    <row r="286" spans="1:6" x14ac:dyDescent="0.3">
      <c r="A286" s="68" t="s">
        <v>177</v>
      </c>
      <c r="B286" s="7">
        <f>IF($B$7=A286,$D$34,0)</f>
        <v>0</v>
      </c>
      <c r="C286" s="7">
        <f>IF($B$75=A286,$D$102,0)</f>
        <v>0</v>
      </c>
      <c r="D286" s="7">
        <f>IF($B$143=A286,$D$170,0)</f>
        <v>0</v>
      </c>
      <c r="E286" s="7">
        <f>IF($B$211=A286,$D$238,0)</f>
        <v>0</v>
      </c>
      <c r="F286" s="7">
        <f t="shared" si="21"/>
        <v>0</v>
      </c>
    </row>
    <row r="287" spans="1:6" x14ac:dyDescent="0.3">
      <c r="A287" s="69" t="s">
        <v>178</v>
      </c>
      <c r="B287" s="7">
        <f>IF($B$7=A287,$D$34,0)</f>
        <v>0</v>
      </c>
      <c r="C287" s="7">
        <f>IF($B$75=A287,$D$102,0)</f>
        <v>0</v>
      </c>
      <c r="D287" s="7">
        <f>IF($B$143=A287,$D$170,0)</f>
        <v>0</v>
      </c>
      <c r="E287" s="7">
        <f>IF($B$211=A287,$D$238,0)</f>
        <v>0</v>
      </c>
      <c r="F287" s="70">
        <f t="shared" si="21"/>
        <v>0</v>
      </c>
    </row>
    <row r="288" spans="1:6" x14ac:dyDescent="0.3">
      <c r="A288" s="141" t="s">
        <v>222</v>
      </c>
      <c r="B288" s="142">
        <f>SUM(B277:B287)</f>
        <v>0</v>
      </c>
      <c r="C288" s="142">
        <f>SUM(C277:C287)</f>
        <v>0</v>
      </c>
      <c r="D288" s="142">
        <f>SUM(D277:D287)</f>
        <v>0</v>
      </c>
      <c r="E288" s="142">
        <f>SUM(E277:E287)</f>
        <v>0</v>
      </c>
      <c r="F288" s="142">
        <f>SUM(F277:F287)</f>
        <v>0</v>
      </c>
    </row>
    <row r="289" spans="3:5" x14ac:dyDescent="0.3">
      <c r="C289" s="67"/>
      <c r="D289" s="67"/>
      <c r="E289" s="67"/>
    </row>
  </sheetData>
  <sheetProtection algorithmName="SHA-512" hashValue="K/xU6Eitjogk7gLZZ3LejrcbnxLzZOy6Ixk1rNdFNA5fzUzD1N9iTAuTldovQC17s4wqN2s8CBpJbQNTWzVZQg==" saltValue="hlfgq7XIz6z5qVsrhFrJyw==" spinCount="100000" sheet="1" selectLockedCells="1"/>
  <mergeCells count="204">
    <mergeCell ref="B272:F272"/>
    <mergeCell ref="B273:F273"/>
    <mergeCell ref="B274:F274"/>
    <mergeCell ref="B267:F267"/>
    <mergeCell ref="B268:C268"/>
    <mergeCell ref="E268:F268"/>
    <mergeCell ref="B269:F269"/>
    <mergeCell ref="D270:F270"/>
    <mergeCell ref="B271:F271"/>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48:F248"/>
    <mergeCell ref="B249:F249"/>
    <mergeCell ref="B250:F250"/>
    <mergeCell ref="B251:F251"/>
    <mergeCell ref="B252:F252"/>
    <mergeCell ref="A253:A261"/>
    <mergeCell ref="B253:F253"/>
    <mergeCell ref="B254:F254"/>
    <mergeCell ref="B255:F255"/>
    <mergeCell ref="B256:F256"/>
    <mergeCell ref="A217:F217"/>
    <mergeCell ref="B231:D231"/>
    <mergeCell ref="A244:F244"/>
    <mergeCell ref="B245:F245"/>
    <mergeCell ref="B246:F246"/>
    <mergeCell ref="B247:F247"/>
    <mergeCell ref="B212:C212"/>
    <mergeCell ref="B213:C213"/>
    <mergeCell ref="B214:C214"/>
    <mergeCell ref="B215:C215"/>
    <mergeCell ref="D215:F216"/>
    <mergeCell ref="B216:C216"/>
    <mergeCell ref="A208:F208"/>
    <mergeCell ref="A209:C209"/>
    <mergeCell ref="D209:F209"/>
    <mergeCell ref="A210:C210"/>
    <mergeCell ref="D210:F210"/>
    <mergeCell ref="B211:C211"/>
    <mergeCell ref="B201:F201"/>
    <mergeCell ref="D202:F202"/>
    <mergeCell ref="B203:F203"/>
    <mergeCell ref="B204:F204"/>
    <mergeCell ref="B205:F205"/>
    <mergeCell ref="B206:F206"/>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B183:F183"/>
    <mergeCell ref="B184:F184"/>
    <mergeCell ref="A185:A193"/>
    <mergeCell ref="B185:F185"/>
    <mergeCell ref="B186:F186"/>
    <mergeCell ref="B187:F187"/>
    <mergeCell ref="B188:F188"/>
    <mergeCell ref="B189:F189"/>
    <mergeCell ref="B190:F190"/>
    <mergeCell ref="B191:F191"/>
    <mergeCell ref="B177:F177"/>
    <mergeCell ref="B178:F178"/>
    <mergeCell ref="B179:F179"/>
    <mergeCell ref="B180:F180"/>
    <mergeCell ref="B181:F181"/>
    <mergeCell ref="B182:F182"/>
    <mergeCell ref="B147:C147"/>
    <mergeCell ref="D147:F148"/>
    <mergeCell ref="B148:C148"/>
    <mergeCell ref="A149:F149"/>
    <mergeCell ref="B163:D163"/>
    <mergeCell ref="A176:F176"/>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33:F133"/>
    <mergeCell ref="D134:F134"/>
    <mergeCell ref="B135:F135"/>
    <mergeCell ref="B127:F127"/>
    <mergeCell ref="B128:C128"/>
    <mergeCell ref="E128:F128"/>
    <mergeCell ref="B129:F129"/>
    <mergeCell ref="B130:C130"/>
    <mergeCell ref="E130:F130"/>
    <mergeCell ref="B126:C126"/>
    <mergeCell ref="E126:F126"/>
    <mergeCell ref="B112:F112"/>
    <mergeCell ref="B113:F113"/>
    <mergeCell ref="B114:F114"/>
    <mergeCell ref="B115:F115"/>
    <mergeCell ref="B116:F116"/>
    <mergeCell ref="B131:F131"/>
    <mergeCell ref="B132:C132"/>
    <mergeCell ref="E132:F132"/>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76:C76"/>
    <mergeCell ref="B77:C77"/>
    <mergeCell ref="B78:C78"/>
    <mergeCell ref="B79:C79"/>
    <mergeCell ref="D79:F80"/>
    <mergeCell ref="B80:C80"/>
    <mergeCell ref="A72:F72"/>
    <mergeCell ref="A73:C73"/>
    <mergeCell ref="D73:F73"/>
    <mergeCell ref="A74:C74"/>
    <mergeCell ref="D74:F74"/>
    <mergeCell ref="B75:C75"/>
    <mergeCell ref="B67:F67"/>
    <mergeCell ref="B68:F68"/>
    <mergeCell ref="B69:F69"/>
    <mergeCell ref="B70:F70"/>
    <mergeCell ref="B61:F61"/>
    <mergeCell ref="B62:C62"/>
    <mergeCell ref="E62:F62"/>
    <mergeCell ref="B63:F63"/>
    <mergeCell ref="B64:C64"/>
    <mergeCell ref="E64:F64"/>
    <mergeCell ref="B58:C58"/>
    <mergeCell ref="E58:F58"/>
    <mergeCell ref="B59:F59"/>
    <mergeCell ref="B60:C60"/>
    <mergeCell ref="E60:F60"/>
    <mergeCell ref="B47:F47"/>
    <mergeCell ref="B48:F48"/>
    <mergeCell ref="B65:F65"/>
    <mergeCell ref="D66:F66"/>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A13:F13"/>
    <mergeCell ref="B16:D16"/>
    <mergeCell ref="B27:D27"/>
    <mergeCell ref="A40:F40"/>
    <mergeCell ref="B7:C7"/>
    <mergeCell ref="B8:C8"/>
    <mergeCell ref="B9:C9"/>
    <mergeCell ref="B10:C10"/>
    <mergeCell ref="B11:C11"/>
    <mergeCell ref="D11:F12"/>
    <mergeCell ref="B1:F1"/>
    <mergeCell ref="B2:F2"/>
    <mergeCell ref="B3:F3"/>
    <mergeCell ref="B4:F4"/>
    <mergeCell ref="A5:C5"/>
    <mergeCell ref="A6:C6"/>
    <mergeCell ref="B12:C12"/>
    <mergeCell ref="D5:F5"/>
    <mergeCell ref="D6:F6"/>
  </mergeCells>
  <dataValidations count="11">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or RIRE Stuttgard or an error message will display." sqref="F8:F10 F76:F78 F144:F146 F212:F214">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or RIRE Stuttgard or an error message will display." sqref="E8:E10 E76:E78 E144:E146 E212:E214">
      <formula1>0</formula1>
      <formula2>10000</formula2>
    </dataValidation>
    <dataValidation type="list" showInputMessage="1" showErrorMessage="1" error="A commodity must be selected from the list." prompt="Select a crop from the list" sqref="B8:C8 B144:C144 B212:C212 B76:C76">
      <formula1>Crops</formula1>
    </dataValidation>
    <dataValidation type="list" showInputMessage="1" showErrorMessage="1" error="Select a research station from the list" prompt="Select a research station" sqref="B143 B211:C211 B75:C75 B7">
      <formula1>Stations</formula1>
    </dataValidation>
    <dataValidation type="list" allowBlank="1" showInputMessage="1" showErrorMessage="1" error="Select a harvest method from the list" prompt="Select the harvest method from the list" sqref="B66 B134 B202 B27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formula1>1</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3.0&amp;CPage &amp;P of &amp;N&amp;R2020/2021</oddFooter>
  </headerFooter>
  <rowBreaks count="8" manualBreakCount="8">
    <brk id="39" max="5" man="1"/>
    <brk id="71" max="5" man="1"/>
    <brk id="107" max="5" man="1"/>
    <brk id="139" max="5" man="1"/>
    <brk id="175" max="5" man="1"/>
    <brk id="207" max="5" man="1"/>
    <brk id="243" max="5" man="1"/>
    <brk id="274"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9"/>
  <sheetViews>
    <sheetView showGridLines="0" zoomScaleNormal="100" workbookViewId="0">
      <selection activeCell="B7" sqref="B7:C7"/>
    </sheetView>
  </sheetViews>
  <sheetFormatPr defaultColWidth="9" defaultRowHeight="15.6" x14ac:dyDescent="0.3"/>
  <cols>
    <col min="1" max="1" width="30.8984375" style="34" customWidth="1"/>
    <col min="2" max="3" width="13.59765625" style="34" customWidth="1"/>
    <col min="4" max="4" width="15.59765625" style="34" customWidth="1"/>
    <col min="5" max="6" width="13.59765625" style="34" customWidth="1"/>
    <col min="7" max="7" width="10.59765625" style="34" customWidth="1"/>
    <col min="8" max="8" width="9.3984375" style="34" customWidth="1"/>
    <col min="9" max="16384" width="9" style="34"/>
  </cols>
  <sheetData>
    <row r="1" spans="1:14" s="16" customFormat="1" ht="20.100000000000001" customHeight="1" x14ac:dyDescent="0.3">
      <c r="A1" s="143">
        <f>Lead_Project_Investigator</f>
        <v>0</v>
      </c>
      <c r="B1" s="239">
        <f>Project_Title</f>
        <v>0</v>
      </c>
      <c r="C1" s="239"/>
      <c r="D1" s="239"/>
      <c r="E1" s="239"/>
      <c r="F1" s="239"/>
      <c r="G1" s="125"/>
      <c r="H1" s="125"/>
      <c r="I1" s="125"/>
      <c r="J1" s="125"/>
    </row>
    <row r="2" spans="1:14" ht="20.100000000000001" customHeight="1" x14ac:dyDescent="0.3">
      <c r="A2" s="167"/>
      <c r="B2" s="305" t="s">
        <v>216</v>
      </c>
      <c r="C2" s="306"/>
      <c r="D2" s="306"/>
      <c r="E2" s="306"/>
      <c r="F2" s="307"/>
    </row>
    <row r="3" spans="1:14" ht="20.100000000000001" customHeight="1" x14ac:dyDescent="0.3">
      <c r="A3" s="161" t="s">
        <v>205</v>
      </c>
      <c r="B3" s="315">
        <f>'Promotion Board Budget'!B4:C4</f>
        <v>0</v>
      </c>
      <c r="C3" s="316"/>
      <c r="D3" s="316"/>
      <c r="E3" s="316"/>
      <c r="F3" s="317"/>
      <c r="G3" s="160"/>
    </row>
    <row r="4" spans="1:14" ht="20.100000000000001" customHeight="1" x14ac:dyDescent="0.3">
      <c r="A4" s="167"/>
      <c r="B4" s="269" t="s">
        <v>210</v>
      </c>
      <c r="C4" s="270"/>
      <c r="D4" s="270"/>
      <c r="E4" s="270"/>
      <c r="F4" s="271"/>
    </row>
    <row r="5" spans="1:14" ht="56.1" customHeight="1" x14ac:dyDescent="0.3">
      <c r="A5" s="312"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18"/>
      <c r="C5" s="319"/>
      <c r="D5" s="320"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5" s="321"/>
      <c r="F5" s="322"/>
    </row>
    <row r="6" spans="1:14" x14ac:dyDescent="0.3">
      <c r="A6" s="261" t="s">
        <v>208</v>
      </c>
      <c r="B6" s="261"/>
      <c r="C6" s="261"/>
      <c r="D6" s="254" t="s">
        <v>456</v>
      </c>
      <c r="E6" s="255"/>
      <c r="F6" s="256"/>
    </row>
    <row r="7" spans="1:14" ht="15.75" customHeight="1" x14ac:dyDescent="0.3">
      <c r="A7" s="58" t="s">
        <v>182</v>
      </c>
      <c r="B7" s="199"/>
      <c r="C7" s="262"/>
      <c r="D7" s="73" t="s">
        <v>455</v>
      </c>
      <c r="E7" s="73" t="s">
        <v>451</v>
      </c>
      <c r="F7" s="73" t="s">
        <v>452</v>
      </c>
    </row>
    <row r="8" spans="1:14" x14ac:dyDescent="0.3">
      <c r="A8" s="58" t="s">
        <v>201</v>
      </c>
      <c r="B8" s="222"/>
      <c r="C8" s="222"/>
      <c r="D8" s="73" t="s">
        <v>448</v>
      </c>
      <c r="E8" s="156"/>
      <c r="F8" s="157"/>
      <c r="G8" s="113" t="str">
        <f>IF(AND(E8+F8&gt;0,B7&lt;&gt;"RIRE, Stuttgart",B7&lt;&gt;"Rosen Center",B7&lt;&gt;"Lonoke Ag Center"),"* Error - facility not available at selected Research Station","")</f>
        <v/>
      </c>
    </row>
    <row r="9" spans="1:14" s="1" customFormat="1" x14ac:dyDescent="0.3">
      <c r="A9" s="58" t="s">
        <v>183</v>
      </c>
      <c r="B9" s="260"/>
      <c r="C9" s="260"/>
      <c r="D9" s="73" t="s">
        <v>449</v>
      </c>
      <c r="E9" s="156"/>
      <c r="F9" s="158"/>
      <c r="G9" s="113" t="str">
        <f>IF(AND(E9+F9&gt;0,B7&lt;&gt;"Rosen Center",B7&lt;&gt;"RIRE, Stuttgart"),"* Error - facility not available at selected Research Station","")</f>
        <v/>
      </c>
      <c r="H9" s="34"/>
      <c r="I9" s="34"/>
      <c r="J9" s="34"/>
      <c r="K9" s="34"/>
      <c r="L9" s="34"/>
      <c r="M9" s="34"/>
    </row>
    <row r="10" spans="1:14" s="1" customFormat="1" x14ac:dyDescent="0.3">
      <c r="A10" s="58" t="s">
        <v>184</v>
      </c>
      <c r="B10" s="260"/>
      <c r="C10" s="260"/>
      <c r="D10" s="73" t="s">
        <v>450</v>
      </c>
      <c r="E10" s="156"/>
      <c r="F10" s="158"/>
      <c r="G10" s="113" t="str">
        <f>IF(AND(E10+F10&gt;0,B7&lt;&gt;"Rosen Center"),"* Error - facility not available at selected Research Station","")</f>
        <v/>
      </c>
      <c r="H10" s="34"/>
      <c r="I10" s="34"/>
      <c r="J10" s="34"/>
      <c r="K10" s="34"/>
      <c r="L10" s="34"/>
      <c r="M10" s="34"/>
    </row>
    <row r="11" spans="1:14" s="1" customFormat="1" ht="15.75" customHeight="1" x14ac:dyDescent="0.3">
      <c r="A11" s="58" t="s">
        <v>185</v>
      </c>
      <c r="B11" s="260"/>
      <c r="C11" s="260"/>
      <c r="D11" s="263" t="str">
        <f>IF(OR(G8="* Error - facility not available at selected Research Station",G9="* Error - facility not available at selected Research Station",G10="* Error - facility not available at selected Research Station"),"See error message(s)","")</f>
        <v/>
      </c>
      <c r="E11" s="264"/>
      <c r="F11" s="265"/>
      <c r="G11" s="34"/>
      <c r="H11" s="34"/>
      <c r="I11" s="34"/>
      <c r="J11" s="34"/>
      <c r="K11" s="34"/>
      <c r="L11" s="34"/>
      <c r="M11" s="34"/>
    </row>
    <row r="12" spans="1:14" s="1" customFormat="1" ht="15.75" customHeight="1" x14ac:dyDescent="0.3">
      <c r="A12" s="58" t="s">
        <v>186</v>
      </c>
      <c r="B12" s="260"/>
      <c r="C12" s="260"/>
      <c r="D12" s="266"/>
      <c r="E12" s="267"/>
      <c r="F12" s="268"/>
      <c r="H12" s="34"/>
      <c r="I12" s="34"/>
      <c r="J12" s="34"/>
      <c r="K12" s="34"/>
      <c r="L12" s="34"/>
      <c r="M12" s="34"/>
    </row>
    <row r="13" spans="1:14" s="1" customFormat="1" ht="75.75" customHeight="1" x14ac:dyDescent="0.45">
      <c r="A13" s="259" t="s">
        <v>335</v>
      </c>
      <c r="B13" s="259"/>
      <c r="C13" s="259"/>
      <c r="D13" s="259"/>
      <c r="E13" s="259"/>
      <c r="F13" s="259"/>
      <c r="G13" s="34"/>
      <c r="H13" s="34"/>
      <c r="I13" s="34"/>
      <c r="J13" s="34"/>
      <c r="K13" s="34"/>
      <c r="L13" s="34"/>
      <c r="M13" s="34"/>
      <c r="N13" s="59"/>
    </row>
    <row r="14" spans="1:14" ht="31.2" x14ac:dyDescent="0.3">
      <c r="A14" s="61" t="s">
        <v>11</v>
      </c>
      <c r="B14" s="61" t="s">
        <v>114</v>
      </c>
      <c r="C14" s="93" t="s">
        <v>141</v>
      </c>
      <c r="D14" s="61" t="s">
        <v>132</v>
      </c>
      <c r="N14" s="60"/>
    </row>
    <row r="15" spans="1:14" x14ac:dyDescent="0.3">
      <c r="A15" s="62" t="s">
        <v>113</v>
      </c>
      <c r="B15" s="63" t="e">
        <f>IF(OR(B7="Rosen Center",B7="Lonoke Ag Center"),0,IF(B7&lt;&gt;"RIRE, Stuttgart",HLOOKUP(B8,Fixed_Rate_Optional,2,FALSE)*B9,100*B9))</f>
        <v>#N/A</v>
      </c>
      <c r="C15" s="64" t="s">
        <v>112</v>
      </c>
      <c r="D15" s="118" t="e">
        <f t="shared" ref="D15:D33" si="0">IF(C15="Yes",B15,0)</f>
        <v>#N/A</v>
      </c>
    </row>
    <row r="16" spans="1:14" x14ac:dyDescent="0.3">
      <c r="A16" s="28" t="s">
        <v>140</v>
      </c>
      <c r="B16" s="308"/>
      <c r="C16" s="309"/>
      <c r="D16" s="310"/>
      <c r="F16" s="146"/>
    </row>
    <row r="17" spans="1:6" x14ac:dyDescent="0.3">
      <c r="A17" s="62" t="s">
        <v>5</v>
      </c>
      <c r="B17" s="65" t="e">
        <f t="shared" ref="B17:B25" si="1">IF(OR($B$7="Rosen Center",$B$7="Lonoke Ag Center"),0,INDEX(Fixed_Rate_Optional,MATCH(A17,Expense_Item,0),MATCH($B$8,Commodity_Item,0))*$B$9)</f>
        <v>#N/A</v>
      </c>
      <c r="C17" s="66"/>
      <c r="D17" s="63">
        <f t="shared" si="0"/>
        <v>0</v>
      </c>
      <c r="F17" s="146"/>
    </row>
    <row r="18" spans="1:6" x14ac:dyDescent="0.3">
      <c r="A18" s="62" t="s">
        <v>6</v>
      </c>
      <c r="B18" s="65" t="e">
        <f t="shared" si="1"/>
        <v>#N/A</v>
      </c>
      <c r="C18" s="66"/>
      <c r="D18" s="63">
        <f t="shared" si="0"/>
        <v>0</v>
      </c>
    </row>
    <row r="19" spans="1:6" x14ac:dyDescent="0.3">
      <c r="A19" s="62" t="s">
        <v>7</v>
      </c>
      <c r="B19" s="65" t="e">
        <f t="shared" si="1"/>
        <v>#N/A</v>
      </c>
      <c r="C19" s="66"/>
      <c r="D19" s="63">
        <f t="shared" si="0"/>
        <v>0</v>
      </c>
    </row>
    <row r="20" spans="1:6" x14ac:dyDescent="0.3">
      <c r="A20" s="62" t="s">
        <v>8</v>
      </c>
      <c r="B20" s="65" t="e">
        <f t="shared" si="1"/>
        <v>#N/A</v>
      </c>
      <c r="C20" s="66"/>
      <c r="D20" s="63">
        <f t="shared" si="0"/>
        <v>0</v>
      </c>
    </row>
    <row r="21" spans="1:6" x14ac:dyDescent="0.3">
      <c r="A21" s="62" t="s">
        <v>9</v>
      </c>
      <c r="B21" s="65" t="e">
        <f t="shared" si="1"/>
        <v>#N/A</v>
      </c>
      <c r="C21" s="66"/>
      <c r="D21" s="63">
        <f t="shared" si="0"/>
        <v>0</v>
      </c>
    </row>
    <row r="22" spans="1:6" x14ac:dyDescent="0.3">
      <c r="A22" s="62" t="s">
        <v>10</v>
      </c>
      <c r="B22" s="65" t="e">
        <f t="shared" si="1"/>
        <v>#N/A</v>
      </c>
      <c r="C22" s="66"/>
      <c r="D22" s="63">
        <f t="shared" si="0"/>
        <v>0</v>
      </c>
    </row>
    <row r="23" spans="1:6" x14ac:dyDescent="0.3">
      <c r="A23" s="62" t="s">
        <v>13</v>
      </c>
      <c r="B23" s="65" t="e">
        <f t="shared" si="1"/>
        <v>#N/A</v>
      </c>
      <c r="C23" s="66"/>
      <c r="D23" s="63">
        <f t="shared" si="0"/>
        <v>0</v>
      </c>
    </row>
    <row r="24" spans="1:6" x14ac:dyDescent="0.3">
      <c r="A24" s="62" t="s">
        <v>14</v>
      </c>
      <c r="B24" s="65" t="e">
        <f t="shared" si="1"/>
        <v>#N/A</v>
      </c>
      <c r="C24" s="66"/>
      <c r="D24" s="63">
        <f t="shared" si="0"/>
        <v>0</v>
      </c>
    </row>
    <row r="25" spans="1:6" x14ac:dyDescent="0.3">
      <c r="A25" s="62" t="s">
        <v>15</v>
      </c>
      <c r="B25" s="65" t="e">
        <f t="shared" si="1"/>
        <v>#N/A</v>
      </c>
      <c r="C25" s="66"/>
      <c r="D25" s="63">
        <f t="shared" si="0"/>
        <v>0</v>
      </c>
    </row>
    <row r="26" spans="1:6" x14ac:dyDescent="0.3">
      <c r="A26" s="62" t="s">
        <v>16</v>
      </c>
      <c r="B26" s="12" t="e">
        <f>IF(OR(B7="Rosen Center",B7="Lonoke Ag Center"),0,INDEX(Fixed_Rate_Optional,MATCH(A26,Expense_Item,0),MATCH(B8,Commodity_Item,0))*B11*B12)</f>
        <v>#N/A</v>
      </c>
      <c r="C26" s="66"/>
      <c r="D26" s="63">
        <f t="shared" si="0"/>
        <v>0</v>
      </c>
    </row>
    <row r="27" spans="1:6" x14ac:dyDescent="0.3">
      <c r="A27" s="28" t="s">
        <v>133</v>
      </c>
      <c r="B27" s="308"/>
      <c r="C27" s="309"/>
      <c r="D27" s="310"/>
    </row>
    <row r="28" spans="1:6" x14ac:dyDescent="0.3">
      <c r="A28" s="62" t="s">
        <v>134</v>
      </c>
      <c r="B28" s="65" t="e">
        <f t="shared" ref="B28:B33" si="2">IF(OR($B$7="Rosen Center",$B$7="Lonoke Ag Center"),0,INDEX(Fixed_Rate_Optional,MATCH(A28,Expense_Item,0),MATCH($B$8,Commodity_Item,0))*$B$9)</f>
        <v>#N/A</v>
      </c>
      <c r="C28" s="66"/>
      <c r="D28" s="63">
        <f t="shared" si="0"/>
        <v>0</v>
      </c>
    </row>
    <row r="29" spans="1:6" x14ac:dyDescent="0.3">
      <c r="A29" s="62" t="s">
        <v>135</v>
      </c>
      <c r="B29" s="65" t="e">
        <f t="shared" si="2"/>
        <v>#N/A</v>
      </c>
      <c r="C29" s="66"/>
      <c r="D29" s="63">
        <f t="shared" si="0"/>
        <v>0</v>
      </c>
    </row>
    <row r="30" spans="1:6" x14ac:dyDescent="0.3">
      <c r="A30" s="62" t="s">
        <v>136</v>
      </c>
      <c r="B30" s="65" t="e">
        <f t="shared" si="2"/>
        <v>#N/A</v>
      </c>
      <c r="C30" s="66"/>
      <c r="D30" s="63">
        <f t="shared" si="0"/>
        <v>0</v>
      </c>
    </row>
    <row r="31" spans="1:6" x14ac:dyDescent="0.3">
      <c r="A31" s="62" t="s">
        <v>137</v>
      </c>
      <c r="B31" s="65" t="e">
        <f t="shared" si="2"/>
        <v>#N/A</v>
      </c>
      <c r="C31" s="66"/>
      <c r="D31" s="63">
        <f t="shared" si="0"/>
        <v>0</v>
      </c>
    </row>
    <row r="32" spans="1:6" x14ac:dyDescent="0.3">
      <c r="A32" s="62" t="s">
        <v>138</v>
      </c>
      <c r="B32" s="65" t="e">
        <f t="shared" si="2"/>
        <v>#N/A</v>
      </c>
      <c r="C32" s="66"/>
      <c r="D32" s="63">
        <f t="shared" si="0"/>
        <v>0</v>
      </c>
    </row>
    <row r="33" spans="1:13" x14ac:dyDescent="0.3">
      <c r="A33" s="62" t="s">
        <v>139</v>
      </c>
      <c r="B33" s="65" t="e">
        <f t="shared" si="2"/>
        <v>#N/A</v>
      </c>
      <c r="C33" s="66"/>
      <c r="D33" s="63">
        <f t="shared" si="0"/>
        <v>0</v>
      </c>
    </row>
    <row r="34" spans="1:13" s="21" customFormat="1" ht="15.75" customHeight="1" x14ac:dyDescent="0.3">
      <c r="A34" s="28" t="s">
        <v>111</v>
      </c>
      <c r="B34" s="121"/>
      <c r="C34" s="78"/>
      <c r="D34" s="92" t="e">
        <f>SUM(D15,D17:D26,D28:D33)</f>
        <v>#N/A</v>
      </c>
      <c r="E34" s="34"/>
      <c r="G34" s="34"/>
      <c r="H34" s="34"/>
      <c r="I34" s="34"/>
      <c r="J34" s="34"/>
      <c r="K34" s="34"/>
      <c r="L34" s="34"/>
      <c r="M34" s="34"/>
    </row>
    <row r="35" spans="1:13" s="21" customFormat="1" ht="15.75" customHeight="1" x14ac:dyDescent="0.3">
      <c r="A35" s="28" t="s">
        <v>460</v>
      </c>
      <c r="B35" s="29" t="s">
        <v>464</v>
      </c>
      <c r="C35" s="29" t="s">
        <v>466</v>
      </c>
      <c r="D35" s="29" t="s">
        <v>465</v>
      </c>
      <c r="E35" s="29" t="s">
        <v>111</v>
      </c>
      <c r="F35" s="34"/>
      <c r="G35" s="34"/>
      <c r="H35" s="34"/>
      <c r="I35" s="34"/>
      <c r="J35" s="34"/>
      <c r="K35" s="34"/>
      <c r="L35" s="34"/>
    </row>
    <row r="36" spans="1:13" s="21" customFormat="1" ht="15.75" customHeight="1" x14ac:dyDescent="0.3">
      <c r="A36" s="68" t="s">
        <v>457</v>
      </c>
      <c r="B36" s="132">
        <f>Greenhouse_Rate</f>
        <v>1</v>
      </c>
      <c r="C36" s="137">
        <f>IF(OR(B7="Lonoke Ag Center",B7="RIRE, Stuttgart",B7="Rosen Center"),E8,0)</f>
        <v>0</v>
      </c>
      <c r="D36" s="136">
        <f>IF(OR(B7="Lonoke Ag Center",B7="RIRE, Stuttgart",B7="Rosen Center"),F8,0)</f>
        <v>0</v>
      </c>
      <c r="E36" s="135">
        <f>C36*D36*B36</f>
        <v>0</v>
      </c>
      <c r="F36" s="34"/>
      <c r="G36" s="34"/>
      <c r="H36" s="34"/>
      <c r="I36" s="34"/>
      <c r="J36" s="34"/>
      <c r="K36" s="34"/>
      <c r="L36" s="34"/>
    </row>
    <row r="37" spans="1:13" s="21" customFormat="1" ht="15.75" customHeight="1" x14ac:dyDescent="0.3">
      <c r="A37" s="68" t="s">
        <v>458</v>
      </c>
      <c r="B37" s="132">
        <f>Growth_Chamber_Rate</f>
        <v>6.8</v>
      </c>
      <c r="C37" s="137">
        <f>IF(OR(B7="RIRE, Stuttgart",B7="Rosen Center"),E9,0)</f>
        <v>0</v>
      </c>
      <c r="D37" s="136">
        <f>IF(OR(B7="RIRE, Stuttgart",B7="Rosen Center"),F9,0)</f>
        <v>0</v>
      </c>
      <c r="E37" s="135">
        <f>C37*D37*B37</f>
        <v>0</v>
      </c>
      <c r="F37" s="34"/>
      <c r="G37" s="34"/>
      <c r="H37" s="34"/>
      <c r="I37" s="34"/>
      <c r="J37" s="34"/>
      <c r="K37" s="34"/>
      <c r="L37" s="34"/>
    </row>
    <row r="38" spans="1:13" s="21" customFormat="1" ht="15.75" customHeight="1" x14ac:dyDescent="0.3">
      <c r="A38" s="68" t="s">
        <v>459</v>
      </c>
      <c r="B38" s="132">
        <f>Quarantine_Rate</f>
        <v>1.1000000000000001</v>
      </c>
      <c r="C38" s="137">
        <f>IF(B7="Rosen Center",E10,0)</f>
        <v>0</v>
      </c>
      <c r="D38" s="136">
        <f>IF(B7="Rosen Center",F10,0)</f>
        <v>0</v>
      </c>
      <c r="E38" s="135">
        <f>C38*D38*B38</f>
        <v>0</v>
      </c>
      <c r="F38" s="34"/>
      <c r="G38" s="34"/>
      <c r="H38" s="34"/>
      <c r="I38" s="34"/>
      <c r="J38" s="34"/>
      <c r="K38" s="34"/>
      <c r="L38" s="34"/>
    </row>
    <row r="39" spans="1:13" s="21" customFormat="1" ht="15.75" customHeight="1" x14ac:dyDescent="0.3">
      <c r="A39" s="130" t="s">
        <v>111</v>
      </c>
      <c r="B39" s="144"/>
      <c r="C39" s="137">
        <f>SUM(C36:C38)</f>
        <v>0</v>
      </c>
      <c r="D39" s="136">
        <f>SUM(D36:D38)</f>
        <v>0</v>
      </c>
      <c r="E39" s="147">
        <f>SUM(E36:E38)</f>
        <v>0</v>
      </c>
      <c r="F39" s="34"/>
      <c r="G39" s="34"/>
      <c r="H39" s="34"/>
      <c r="I39" s="34"/>
      <c r="J39" s="34"/>
      <c r="K39" s="34"/>
      <c r="L39" s="34"/>
    </row>
    <row r="40" spans="1:13" s="21" customFormat="1" ht="15.75" customHeight="1" x14ac:dyDescent="0.3">
      <c r="A40" s="254" t="s">
        <v>229</v>
      </c>
      <c r="B40" s="255"/>
      <c r="C40" s="255"/>
      <c r="D40" s="255"/>
      <c r="E40" s="255"/>
      <c r="F40" s="256"/>
      <c r="G40" s="34"/>
      <c r="H40" s="34"/>
      <c r="I40" s="34"/>
      <c r="J40" s="34"/>
      <c r="K40" s="34"/>
      <c r="L40" s="34"/>
      <c r="M40" s="34"/>
    </row>
    <row r="41" spans="1:13" s="21" customFormat="1" x14ac:dyDescent="0.3">
      <c r="A41" s="68" t="s">
        <v>115</v>
      </c>
      <c r="B41" s="278"/>
      <c r="C41" s="278"/>
      <c r="D41" s="278"/>
      <c r="E41" s="278"/>
      <c r="F41" s="278"/>
      <c r="G41" s="34"/>
      <c r="H41" s="34"/>
      <c r="I41" s="34"/>
      <c r="J41" s="34"/>
      <c r="K41" s="34"/>
      <c r="L41" s="34"/>
      <c r="M41" s="34"/>
    </row>
    <row r="42" spans="1:13" s="21" customFormat="1" x14ac:dyDescent="0.3">
      <c r="A42" s="68" t="s">
        <v>116</v>
      </c>
      <c r="B42" s="311"/>
      <c r="C42" s="289"/>
      <c r="D42" s="289"/>
      <c r="E42" s="289"/>
      <c r="F42" s="289"/>
      <c r="G42" s="34"/>
      <c r="H42" s="34"/>
      <c r="I42" s="34"/>
      <c r="J42" s="34"/>
      <c r="K42" s="34"/>
      <c r="L42" s="34"/>
      <c r="M42" s="34"/>
    </row>
    <row r="43" spans="1:13" s="21" customFormat="1" x14ac:dyDescent="0.3">
      <c r="A43" s="68" t="s">
        <v>117</v>
      </c>
      <c r="B43" s="257"/>
      <c r="C43" s="258"/>
      <c r="D43" s="258"/>
      <c r="E43" s="258"/>
      <c r="F43" s="258"/>
      <c r="G43" s="34"/>
      <c r="H43" s="34"/>
      <c r="I43" s="34"/>
      <c r="J43" s="34"/>
      <c r="K43" s="34"/>
      <c r="L43" s="34"/>
      <c r="M43" s="34"/>
    </row>
    <row r="44" spans="1:13" s="21" customFormat="1" x14ac:dyDescent="0.3">
      <c r="A44" s="68" t="s">
        <v>228</v>
      </c>
      <c r="B44" s="257"/>
      <c r="C44" s="258"/>
      <c r="D44" s="258"/>
      <c r="E44" s="258"/>
      <c r="F44" s="258"/>
      <c r="G44" s="34"/>
      <c r="H44" s="34"/>
      <c r="I44" s="34"/>
      <c r="J44" s="34"/>
      <c r="K44" s="34"/>
      <c r="L44" s="34"/>
      <c r="M44" s="34"/>
    </row>
    <row r="45" spans="1:13" s="21" customFormat="1" x14ac:dyDescent="0.3">
      <c r="A45" s="68" t="s">
        <v>118</v>
      </c>
      <c r="B45" s="257"/>
      <c r="C45" s="258"/>
      <c r="D45" s="258"/>
      <c r="E45" s="258"/>
      <c r="F45" s="258"/>
      <c r="G45" s="34"/>
      <c r="H45" s="34"/>
      <c r="I45" s="34"/>
      <c r="J45" s="34"/>
      <c r="K45" s="34"/>
      <c r="L45" s="34"/>
      <c r="M45" s="34"/>
    </row>
    <row r="46" spans="1:13" s="21" customFormat="1" x14ac:dyDescent="0.3">
      <c r="A46" s="68" t="s">
        <v>126</v>
      </c>
      <c r="B46" s="277"/>
      <c r="C46" s="277"/>
      <c r="D46" s="277"/>
      <c r="E46" s="277"/>
      <c r="F46" s="277"/>
      <c r="G46" s="34"/>
      <c r="H46" s="34"/>
      <c r="I46" s="34"/>
      <c r="J46" s="34"/>
      <c r="K46" s="34"/>
      <c r="L46" s="34"/>
      <c r="M46" s="34"/>
    </row>
    <row r="47" spans="1:13" s="21" customFormat="1" x14ac:dyDescent="0.3">
      <c r="A47" s="68" t="s">
        <v>127</v>
      </c>
      <c r="B47" s="277"/>
      <c r="C47" s="277"/>
      <c r="D47" s="277"/>
      <c r="E47" s="277"/>
      <c r="F47" s="277"/>
      <c r="G47" s="34"/>
      <c r="H47" s="34"/>
      <c r="I47" s="34"/>
      <c r="J47" s="34"/>
      <c r="K47" s="34"/>
      <c r="L47" s="34"/>
      <c r="M47" s="34"/>
    </row>
    <row r="48" spans="1:13" s="21" customFormat="1" x14ac:dyDescent="0.3">
      <c r="A48" s="68" t="s">
        <v>119</v>
      </c>
      <c r="B48" s="277"/>
      <c r="C48" s="277"/>
      <c r="D48" s="277"/>
      <c r="E48" s="277"/>
      <c r="F48" s="277"/>
      <c r="G48" s="34"/>
      <c r="H48" s="34"/>
      <c r="I48" s="34"/>
      <c r="J48" s="34"/>
      <c r="K48" s="34"/>
      <c r="L48" s="34"/>
      <c r="M48" s="34"/>
    </row>
    <row r="49" spans="1:13" s="21" customFormat="1" x14ac:dyDescent="0.3">
      <c r="A49" s="290" t="s">
        <v>120</v>
      </c>
      <c r="B49" s="286"/>
      <c r="C49" s="287"/>
      <c r="D49" s="287"/>
      <c r="E49" s="287"/>
      <c r="F49" s="288"/>
      <c r="G49" s="34"/>
      <c r="H49" s="34"/>
      <c r="I49" s="34"/>
      <c r="J49" s="34"/>
      <c r="K49" s="34"/>
      <c r="L49" s="34"/>
      <c r="M49" s="34"/>
    </row>
    <row r="50" spans="1:13" s="21" customFormat="1" x14ac:dyDescent="0.3">
      <c r="A50" s="291"/>
      <c r="B50" s="240"/>
      <c r="C50" s="241"/>
      <c r="D50" s="241"/>
      <c r="E50" s="241"/>
      <c r="F50" s="242"/>
      <c r="G50" s="34"/>
      <c r="H50" s="34"/>
      <c r="I50" s="34"/>
      <c r="J50" s="34"/>
      <c r="K50" s="34"/>
      <c r="L50" s="34"/>
      <c r="M50" s="34"/>
    </row>
    <row r="51" spans="1:13" s="21" customFormat="1" x14ac:dyDescent="0.3">
      <c r="A51" s="291"/>
      <c r="B51" s="240"/>
      <c r="C51" s="241"/>
      <c r="D51" s="241"/>
      <c r="E51" s="241"/>
      <c r="F51" s="242"/>
      <c r="G51" s="34"/>
      <c r="H51" s="34"/>
      <c r="I51" s="34"/>
      <c r="J51" s="34"/>
      <c r="K51" s="34"/>
      <c r="L51" s="34"/>
      <c r="M51" s="34"/>
    </row>
    <row r="52" spans="1:13" s="21" customFormat="1" x14ac:dyDescent="0.3">
      <c r="A52" s="291"/>
      <c r="B52" s="240"/>
      <c r="C52" s="241"/>
      <c r="D52" s="241"/>
      <c r="E52" s="241"/>
      <c r="F52" s="242"/>
      <c r="G52" s="34"/>
      <c r="H52" s="34"/>
      <c r="I52" s="34"/>
      <c r="J52" s="34"/>
      <c r="K52" s="34"/>
      <c r="L52" s="34"/>
      <c r="M52" s="34"/>
    </row>
    <row r="53" spans="1:13" s="21" customFormat="1" x14ac:dyDescent="0.3">
      <c r="A53" s="291"/>
      <c r="B53" s="240"/>
      <c r="C53" s="241"/>
      <c r="D53" s="241"/>
      <c r="E53" s="241"/>
      <c r="F53" s="242"/>
      <c r="G53" s="34"/>
      <c r="H53" s="34"/>
      <c r="I53" s="34"/>
      <c r="J53" s="34"/>
      <c r="K53" s="34"/>
      <c r="L53" s="34"/>
      <c r="M53" s="34"/>
    </row>
    <row r="54" spans="1:13" s="21" customFormat="1" x14ac:dyDescent="0.3">
      <c r="A54" s="291"/>
      <c r="B54" s="240"/>
      <c r="C54" s="241"/>
      <c r="D54" s="241"/>
      <c r="E54" s="241"/>
      <c r="F54" s="242"/>
      <c r="G54" s="34"/>
      <c r="H54" s="34"/>
      <c r="I54" s="34"/>
      <c r="J54" s="34"/>
      <c r="K54" s="34"/>
      <c r="L54" s="34"/>
      <c r="M54" s="34"/>
    </row>
    <row r="55" spans="1:13" s="21" customFormat="1" x14ac:dyDescent="0.3">
      <c r="A55" s="291"/>
      <c r="B55" s="240"/>
      <c r="C55" s="241"/>
      <c r="D55" s="241"/>
      <c r="E55" s="241"/>
      <c r="F55" s="242"/>
      <c r="G55" s="34"/>
      <c r="H55" s="34"/>
      <c r="I55" s="34"/>
      <c r="J55" s="34"/>
      <c r="K55" s="34"/>
      <c r="L55" s="34"/>
      <c r="M55" s="34"/>
    </row>
    <row r="56" spans="1:13" s="21" customFormat="1" x14ac:dyDescent="0.3">
      <c r="A56" s="291"/>
      <c r="B56" s="240"/>
      <c r="C56" s="241"/>
      <c r="D56" s="241"/>
      <c r="E56" s="241"/>
      <c r="F56" s="242"/>
      <c r="G56" s="34"/>
      <c r="H56" s="34"/>
      <c r="I56" s="34"/>
      <c r="J56" s="34"/>
      <c r="K56" s="34"/>
      <c r="L56" s="34"/>
      <c r="M56" s="34"/>
    </row>
    <row r="57" spans="1:13" s="21" customFormat="1" ht="20.100000000000001" customHeight="1" x14ac:dyDescent="0.3">
      <c r="A57" s="292"/>
      <c r="B57" s="296"/>
      <c r="C57" s="285"/>
      <c r="D57" s="285"/>
      <c r="E57" s="285"/>
      <c r="F57" s="285"/>
      <c r="G57" s="34"/>
      <c r="H57" s="34"/>
      <c r="I57" s="34"/>
      <c r="J57" s="34"/>
      <c r="K57" s="34"/>
      <c r="L57" s="34"/>
      <c r="M57" s="34"/>
    </row>
    <row r="58" spans="1:13" ht="20.100000000000001" customHeight="1" x14ac:dyDescent="0.3">
      <c r="A58" s="73" t="s">
        <v>121</v>
      </c>
      <c r="B58" s="249" t="s">
        <v>230</v>
      </c>
      <c r="C58" s="249"/>
      <c r="D58" s="18"/>
      <c r="E58" s="283"/>
      <c r="F58" s="284"/>
    </row>
    <row r="59" spans="1:13" ht="20.100000000000001" customHeight="1" x14ac:dyDescent="0.3">
      <c r="A59" s="68" t="s">
        <v>231</v>
      </c>
      <c r="B59" s="250"/>
      <c r="C59" s="244"/>
      <c r="D59" s="244"/>
      <c r="E59" s="244"/>
      <c r="F59" s="245"/>
    </row>
    <row r="60" spans="1:13" ht="20.100000000000001" customHeight="1" x14ac:dyDescent="0.3">
      <c r="A60" s="73" t="s">
        <v>122</v>
      </c>
      <c r="B60" s="249" t="s">
        <v>230</v>
      </c>
      <c r="C60" s="249"/>
      <c r="D60" s="18"/>
      <c r="E60" s="283"/>
      <c r="F60" s="284"/>
    </row>
    <row r="61" spans="1:13" ht="20.100000000000001" customHeight="1" x14ac:dyDescent="0.3">
      <c r="A61" s="75" t="s">
        <v>232</v>
      </c>
      <c r="B61" s="243"/>
      <c r="C61" s="244"/>
      <c r="D61" s="244"/>
      <c r="E61" s="244"/>
      <c r="F61" s="245"/>
    </row>
    <row r="62" spans="1:13" ht="20.100000000000001" customHeight="1" x14ac:dyDescent="0.3">
      <c r="A62" s="73" t="s">
        <v>123</v>
      </c>
      <c r="B62" s="249" t="s">
        <v>230</v>
      </c>
      <c r="C62" s="249"/>
      <c r="D62" s="18"/>
      <c r="E62" s="283"/>
      <c r="F62" s="284"/>
    </row>
    <row r="63" spans="1:13" ht="20.100000000000001" customHeight="1" x14ac:dyDescent="0.3">
      <c r="A63" s="75" t="s">
        <v>233</v>
      </c>
      <c r="B63" s="243"/>
      <c r="C63" s="244"/>
      <c r="D63" s="244"/>
      <c r="E63" s="244"/>
      <c r="F63" s="245"/>
    </row>
    <row r="64" spans="1:13" ht="20.100000000000001" customHeight="1" x14ac:dyDescent="0.3">
      <c r="A64" s="73" t="s">
        <v>124</v>
      </c>
      <c r="B64" s="249" t="s">
        <v>230</v>
      </c>
      <c r="C64" s="249"/>
      <c r="D64" s="18"/>
      <c r="E64" s="283"/>
      <c r="F64" s="284"/>
    </row>
    <row r="65" spans="1:13" ht="20.100000000000001" customHeight="1" x14ac:dyDescent="0.3">
      <c r="A65" s="75" t="s">
        <v>234</v>
      </c>
      <c r="B65" s="243"/>
      <c r="C65" s="244"/>
      <c r="D65" s="244"/>
      <c r="E65" s="244"/>
      <c r="F65" s="245"/>
    </row>
    <row r="66" spans="1:13" ht="20.100000000000001" customHeight="1" x14ac:dyDescent="0.3">
      <c r="A66" s="73" t="s">
        <v>125</v>
      </c>
      <c r="B66" s="76"/>
      <c r="C66" s="20" t="s">
        <v>128</v>
      </c>
      <c r="D66" s="246"/>
      <c r="E66" s="247"/>
      <c r="F66" s="248"/>
    </row>
    <row r="67" spans="1:13" ht="20.100000000000001" customHeight="1" x14ac:dyDescent="0.3">
      <c r="A67" s="75" t="s">
        <v>235</v>
      </c>
      <c r="B67" s="243"/>
      <c r="C67" s="244"/>
      <c r="D67" s="244"/>
      <c r="E67" s="244"/>
      <c r="F67" s="245"/>
    </row>
    <row r="68" spans="1:13" ht="20.100000000000001" customHeight="1" x14ac:dyDescent="0.3">
      <c r="A68" s="72" t="s">
        <v>129</v>
      </c>
      <c r="B68" s="279"/>
      <c r="C68" s="280"/>
      <c r="D68" s="280"/>
      <c r="E68" s="280"/>
      <c r="F68" s="281"/>
    </row>
    <row r="69" spans="1:13" ht="20.100000000000001" customHeight="1" x14ac:dyDescent="0.3">
      <c r="A69" s="72" t="s">
        <v>130</v>
      </c>
      <c r="B69" s="279"/>
      <c r="C69" s="280"/>
      <c r="D69" s="280"/>
      <c r="E69" s="280"/>
      <c r="F69" s="281"/>
    </row>
    <row r="70" spans="1:13" s="21" customFormat="1" ht="20.100000000000001" customHeight="1" x14ac:dyDescent="0.3">
      <c r="A70" s="105" t="s">
        <v>131</v>
      </c>
      <c r="B70" s="279"/>
      <c r="C70" s="280"/>
      <c r="D70" s="280"/>
      <c r="E70" s="280"/>
      <c r="F70" s="281"/>
      <c r="G70" s="34"/>
      <c r="H70" s="34"/>
      <c r="I70" s="34"/>
      <c r="J70" s="34"/>
      <c r="K70" s="34"/>
      <c r="L70" s="34"/>
      <c r="M70" s="34"/>
    </row>
    <row r="71" spans="1:13" s="21" customFormat="1" ht="15.75" customHeight="1" thickBot="1" x14ac:dyDescent="0.35">
      <c r="A71" s="34"/>
      <c r="B71" s="34"/>
      <c r="C71" s="34"/>
      <c r="D71" s="34"/>
      <c r="E71" s="34"/>
      <c r="G71" s="34"/>
      <c r="H71" s="34"/>
      <c r="I71" s="34"/>
      <c r="J71" s="34"/>
      <c r="K71" s="34"/>
      <c r="L71" s="34"/>
      <c r="M71" s="34"/>
    </row>
    <row r="72" spans="1:13" s="16" customFormat="1" ht="20.100000000000001" customHeight="1" thickTop="1" thickBot="1" x14ac:dyDescent="0.35">
      <c r="A72" s="297" t="s">
        <v>209</v>
      </c>
      <c r="B72" s="297"/>
      <c r="C72" s="297"/>
      <c r="D72" s="297"/>
      <c r="E72" s="297"/>
      <c r="F72" s="297"/>
      <c r="G72" s="34"/>
      <c r="H72" s="34"/>
      <c r="I72" s="34"/>
      <c r="J72" s="34"/>
      <c r="K72" s="34"/>
      <c r="L72" s="34"/>
      <c r="M72" s="34"/>
    </row>
    <row r="73" spans="1:13" ht="55.5" customHeight="1" thickTop="1" x14ac:dyDescent="0.3">
      <c r="A73"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303"/>
      <c r="C73" s="304"/>
      <c r="D73"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73" s="294"/>
      <c r="F73" s="295"/>
    </row>
    <row r="74" spans="1:13" ht="15.75" customHeight="1" x14ac:dyDescent="0.3">
      <c r="A74" s="231" t="s">
        <v>208</v>
      </c>
      <c r="B74" s="231"/>
      <c r="C74" s="231"/>
      <c r="D74" s="254" t="s">
        <v>456</v>
      </c>
      <c r="E74" s="255"/>
      <c r="F74" s="256"/>
    </row>
    <row r="75" spans="1:13" x14ac:dyDescent="0.3">
      <c r="A75" s="58" t="s">
        <v>182</v>
      </c>
      <c r="B75" s="222"/>
      <c r="C75" s="222"/>
      <c r="D75" s="73" t="s">
        <v>455</v>
      </c>
      <c r="E75" s="73" t="s">
        <v>451</v>
      </c>
      <c r="F75" s="73" t="s">
        <v>452</v>
      </c>
    </row>
    <row r="76" spans="1:13" x14ac:dyDescent="0.3">
      <c r="A76" s="58" t="s">
        <v>201</v>
      </c>
      <c r="B76" s="222"/>
      <c r="C76" s="222"/>
      <c r="D76" s="73" t="s">
        <v>448</v>
      </c>
      <c r="E76" s="156"/>
      <c r="F76" s="157"/>
      <c r="G76" s="113" t="str">
        <f>IF(AND(E76+F76&gt;0,$B$75&lt;&gt;"RIRE, Stuttgart",$B$75&lt;&gt;"Rosen Center",$B$75&lt;&gt;"Lonoke Ag Center"),"* Error - facility not available at selected Research Station","")</f>
        <v/>
      </c>
    </row>
    <row r="77" spans="1:13" x14ac:dyDescent="0.3">
      <c r="A77" s="58" t="s">
        <v>183</v>
      </c>
      <c r="B77" s="260"/>
      <c r="C77" s="260"/>
      <c r="D77" s="73" t="s">
        <v>449</v>
      </c>
      <c r="E77" s="156"/>
      <c r="F77" s="158"/>
      <c r="G77" s="113" t="str">
        <f>IF(AND(E77+F77&gt;0,$B$75&lt;&gt;"RIRE, Stuttgart",$B$75&lt;&gt;"Rosen Center"),"* Error - facility not available at selected Research Station","")</f>
        <v/>
      </c>
    </row>
    <row r="78" spans="1:13" x14ac:dyDescent="0.3">
      <c r="A78" s="58" t="s">
        <v>184</v>
      </c>
      <c r="B78" s="260"/>
      <c r="C78" s="260"/>
      <c r="D78" s="73" t="s">
        <v>450</v>
      </c>
      <c r="E78" s="156"/>
      <c r="F78" s="158"/>
      <c r="G78" s="113" t="str">
        <f>IF(AND(E78+F78&gt;0,$B$75&lt;&gt;"Rosen Center"),"* Error - facility not available at selected Research Station","")</f>
        <v/>
      </c>
    </row>
    <row r="79" spans="1:13" x14ac:dyDescent="0.3">
      <c r="A79" s="58" t="s">
        <v>185</v>
      </c>
      <c r="B79" s="260"/>
      <c r="C79" s="260"/>
      <c r="D79" s="263" t="str">
        <f>IF(OR(G76="* Error - facility not available at selected Research Station",G77="* Error - facility not available at selected Research Station",G78="* Error - facility not available at selected Research Station"),"See error message(s)","")</f>
        <v/>
      </c>
      <c r="E79" s="272"/>
      <c r="F79" s="273"/>
    </row>
    <row r="80" spans="1:13" x14ac:dyDescent="0.3">
      <c r="A80" s="58" t="s">
        <v>186</v>
      </c>
      <c r="B80" s="260"/>
      <c r="C80" s="260"/>
      <c r="D80" s="274"/>
      <c r="E80" s="275"/>
      <c r="F80" s="276"/>
    </row>
    <row r="81" spans="1:14" ht="75.75" customHeight="1" x14ac:dyDescent="0.3">
      <c r="A81" s="282" t="s">
        <v>336</v>
      </c>
      <c r="B81" s="282"/>
      <c r="C81" s="282"/>
      <c r="D81" s="282"/>
      <c r="E81" s="282"/>
      <c r="F81" s="282"/>
    </row>
    <row r="82" spans="1:14" ht="31.5" customHeight="1" x14ac:dyDescent="0.45">
      <c r="A82" s="29" t="s">
        <v>11</v>
      </c>
      <c r="B82" s="29" t="s">
        <v>114</v>
      </c>
      <c r="C82" s="159" t="s">
        <v>141</v>
      </c>
      <c r="D82" s="29" t="s">
        <v>132</v>
      </c>
      <c r="N82" s="59"/>
    </row>
    <row r="83" spans="1:14" x14ac:dyDescent="0.3">
      <c r="A83" s="23" t="s">
        <v>113</v>
      </c>
      <c r="B83" s="7" t="e">
        <f>IF(OR(B75="Rosen Center",B75="Lonoke Ag Center"),0,IF(B75&lt;&gt;"RIRE, Stuttgart",HLOOKUP(B76,Fixed_Rate_Optional,2,FALSE)*B77,100*B77))</f>
        <v>#N/A</v>
      </c>
      <c r="C83" s="13" t="s">
        <v>112</v>
      </c>
      <c r="D83" s="119" t="e">
        <f t="shared" ref="D83" si="3">IF(C83="Yes",B83,0)</f>
        <v>#N/A</v>
      </c>
    </row>
    <row r="84" spans="1:14" x14ac:dyDescent="0.3">
      <c r="A84" s="28" t="s">
        <v>140</v>
      </c>
      <c r="B84" s="24"/>
      <c r="C84" s="24"/>
      <c r="D84" s="25"/>
    </row>
    <row r="85" spans="1:14" x14ac:dyDescent="0.3">
      <c r="A85" s="23" t="s">
        <v>5</v>
      </c>
      <c r="B85" s="65" t="e">
        <f t="shared" ref="B85:B93" si="4">IF(OR($B$75="Rosen Center",$B$75="Lonoke Ag Center"),0,INDEX(Fixed_Rate_Optional,MATCH(A85,Expense_Item,0),MATCH($B$76,Commodity_Item,0))*$B$77)</f>
        <v>#N/A</v>
      </c>
      <c r="C85" s="27"/>
      <c r="D85" s="7">
        <f t="shared" ref="D85:D94" si="5">IF(C85="Yes",B85,0)</f>
        <v>0</v>
      </c>
    </row>
    <row r="86" spans="1:14" x14ac:dyDescent="0.3">
      <c r="A86" s="23" t="s">
        <v>6</v>
      </c>
      <c r="B86" s="65" t="e">
        <f t="shared" si="4"/>
        <v>#N/A</v>
      </c>
      <c r="C86" s="27"/>
      <c r="D86" s="7">
        <f t="shared" si="5"/>
        <v>0</v>
      </c>
    </row>
    <row r="87" spans="1:14" x14ac:dyDescent="0.3">
      <c r="A87" s="23" t="s">
        <v>7</v>
      </c>
      <c r="B87" s="65" t="e">
        <f t="shared" si="4"/>
        <v>#N/A</v>
      </c>
      <c r="C87" s="27"/>
      <c r="D87" s="7">
        <f t="shared" si="5"/>
        <v>0</v>
      </c>
    </row>
    <row r="88" spans="1:14" x14ac:dyDescent="0.3">
      <c r="A88" s="23" t="s">
        <v>8</v>
      </c>
      <c r="B88" s="65" t="e">
        <f t="shared" si="4"/>
        <v>#N/A</v>
      </c>
      <c r="C88" s="27"/>
      <c r="D88" s="7">
        <f t="shared" si="5"/>
        <v>0</v>
      </c>
    </row>
    <row r="89" spans="1:14" x14ac:dyDescent="0.3">
      <c r="A89" s="23" t="s">
        <v>9</v>
      </c>
      <c r="B89" s="65" t="e">
        <f t="shared" si="4"/>
        <v>#N/A</v>
      </c>
      <c r="C89" s="27"/>
      <c r="D89" s="7">
        <f t="shared" si="5"/>
        <v>0</v>
      </c>
    </row>
    <row r="90" spans="1:14" x14ac:dyDescent="0.3">
      <c r="A90" s="23" t="s">
        <v>10</v>
      </c>
      <c r="B90" s="65" t="e">
        <f t="shared" si="4"/>
        <v>#N/A</v>
      </c>
      <c r="C90" s="27"/>
      <c r="D90" s="7">
        <f t="shared" si="5"/>
        <v>0</v>
      </c>
    </row>
    <row r="91" spans="1:14" x14ac:dyDescent="0.3">
      <c r="A91" s="23" t="s">
        <v>13</v>
      </c>
      <c r="B91" s="65" t="e">
        <f t="shared" si="4"/>
        <v>#N/A</v>
      </c>
      <c r="C91" s="27"/>
      <c r="D91" s="7">
        <f t="shared" si="5"/>
        <v>0</v>
      </c>
    </row>
    <row r="92" spans="1:14" x14ac:dyDescent="0.3">
      <c r="A92" s="23" t="s">
        <v>14</v>
      </c>
      <c r="B92" s="65" t="e">
        <f t="shared" si="4"/>
        <v>#N/A</v>
      </c>
      <c r="C92" s="27"/>
      <c r="D92" s="7">
        <f t="shared" si="5"/>
        <v>0</v>
      </c>
    </row>
    <row r="93" spans="1:14" x14ac:dyDescent="0.3">
      <c r="A93" s="23" t="s">
        <v>15</v>
      </c>
      <c r="B93" s="65" t="e">
        <f t="shared" si="4"/>
        <v>#N/A</v>
      </c>
      <c r="C93" s="27"/>
      <c r="D93" s="7">
        <f t="shared" si="5"/>
        <v>0</v>
      </c>
    </row>
    <row r="94" spans="1:14" x14ac:dyDescent="0.3">
      <c r="A94" s="23" t="s">
        <v>16</v>
      </c>
      <c r="B94" s="12" t="e">
        <f>IF(OR(B75="Rosen Center",B75="Lonoke Ag Center"),0,INDEX(Fixed_Rate_Optional,MATCH(A94,Expense_Item,0),MATCH(B76,Commodity_Item,0))*B79*B80)</f>
        <v>#N/A</v>
      </c>
      <c r="C94" s="27"/>
      <c r="D94" s="7">
        <f t="shared" si="5"/>
        <v>0</v>
      </c>
    </row>
    <row r="95" spans="1:14" x14ac:dyDescent="0.3">
      <c r="A95" s="28" t="s">
        <v>133</v>
      </c>
      <c r="B95" s="298"/>
      <c r="C95" s="299"/>
      <c r="D95" s="300"/>
    </row>
    <row r="96" spans="1:14" x14ac:dyDescent="0.3">
      <c r="A96" s="23" t="s">
        <v>134</v>
      </c>
      <c r="B96" s="65" t="e">
        <f t="shared" ref="B96:B101" si="6">IF(OR($B$75="Rosen Center",$B$75="Lonoke Ag Center"),0,INDEX(Fixed_Rate_Optional,MATCH(A96,Expense_Item,0),MATCH($B$76,Commodity_Item,0))*$B$77)</f>
        <v>#N/A</v>
      </c>
      <c r="C96" s="27"/>
      <c r="D96" s="7">
        <f t="shared" ref="D96:D101" si="7">IF(C96="Yes",B96,0)</f>
        <v>0</v>
      </c>
    </row>
    <row r="97" spans="1:13" x14ac:dyDescent="0.3">
      <c r="A97" s="23" t="s">
        <v>135</v>
      </c>
      <c r="B97" s="65" t="e">
        <f t="shared" si="6"/>
        <v>#N/A</v>
      </c>
      <c r="C97" s="27"/>
      <c r="D97" s="7">
        <f t="shared" si="7"/>
        <v>0</v>
      </c>
    </row>
    <row r="98" spans="1:13" x14ac:dyDescent="0.3">
      <c r="A98" s="23" t="s">
        <v>136</v>
      </c>
      <c r="B98" s="65" t="e">
        <f t="shared" si="6"/>
        <v>#N/A</v>
      </c>
      <c r="C98" s="27"/>
      <c r="D98" s="7">
        <f t="shared" si="7"/>
        <v>0</v>
      </c>
    </row>
    <row r="99" spans="1:13" x14ac:dyDescent="0.3">
      <c r="A99" s="23" t="s">
        <v>137</v>
      </c>
      <c r="B99" s="65" t="e">
        <f t="shared" si="6"/>
        <v>#N/A</v>
      </c>
      <c r="C99" s="27"/>
      <c r="D99" s="7">
        <f t="shared" si="7"/>
        <v>0</v>
      </c>
    </row>
    <row r="100" spans="1:13" x14ac:dyDescent="0.3">
      <c r="A100" s="23" t="s">
        <v>138</v>
      </c>
      <c r="B100" s="65" t="e">
        <f t="shared" si="6"/>
        <v>#N/A</v>
      </c>
      <c r="C100" s="27"/>
      <c r="D100" s="7">
        <f t="shared" si="7"/>
        <v>0</v>
      </c>
    </row>
    <row r="101" spans="1:13" x14ac:dyDescent="0.3">
      <c r="A101" s="23" t="s">
        <v>139</v>
      </c>
      <c r="B101" s="65" t="e">
        <f t="shared" si="6"/>
        <v>#N/A</v>
      </c>
      <c r="C101" s="27"/>
      <c r="D101" s="7">
        <f t="shared" si="7"/>
        <v>0</v>
      </c>
    </row>
    <row r="102" spans="1:13" ht="15.75" customHeight="1" x14ac:dyDescent="0.3">
      <c r="A102" s="28" t="str">
        <f>B75&amp;" Total"</f>
        <v xml:space="preserve"> Total</v>
      </c>
      <c r="B102" s="121"/>
      <c r="C102" s="20"/>
      <c r="D102" s="26" t="e">
        <f>SUM(D83,D85:D94,D96:D101)</f>
        <v>#N/A</v>
      </c>
    </row>
    <row r="103" spans="1:13" ht="15.75" customHeight="1" x14ac:dyDescent="0.3">
      <c r="A103" s="28" t="s">
        <v>460</v>
      </c>
      <c r="B103" s="29" t="s">
        <v>464</v>
      </c>
      <c r="C103" s="29" t="s">
        <v>466</v>
      </c>
      <c r="D103" s="29" t="s">
        <v>465</v>
      </c>
      <c r="E103" s="29" t="s">
        <v>111</v>
      </c>
    </row>
    <row r="104" spans="1:13" x14ac:dyDescent="0.3">
      <c r="A104" s="68" t="s">
        <v>457</v>
      </c>
      <c r="B104" s="132">
        <f>Greenhouse_Rate</f>
        <v>1</v>
      </c>
      <c r="C104" s="137">
        <f>IF(OR(B75="Lonoke Ag Center",B75="RIRE, Stuttgart",B75="Rosen Center"),E76,0)</f>
        <v>0</v>
      </c>
      <c r="D104" s="136">
        <f>IF(OR(B75="Lonoke Ag Center",B75="RIRE, Stuttgart",B75="Rosen Center"),F76,0)</f>
        <v>0</v>
      </c>
      <c r="E104" s="135">
        <f>C104*D104*B104</f>
        <v>0</v>
      </c>
    </row>
    <row r="105" spans="1:13" x14ac:dyDescent="0.3">
      <c r="A105" s="68" t="s">
        <v>458</v>
      </c>
      <c r="B105" s="132">
        <f>Growth_Chamber_Rate</f>
        <v>6.8</v>
      </c>
      <c r="C105" s="137">
        <f>IF(OR(B75="RIRE, Stuttgart",B75="Rosen Center"),E77,0)</f>
        <v>0</v>
      </c>
      <c r="D105" s="136">
        <f>IF(OR(B75="RIRE, Stuttgart",B75="Rosen Center"),F77,0)</f>
        <v>0</v>
      </c>
      <c r="E105" s="135">
        <f>C105*D105*B105</f>
        <v>0</v>
      </c>
    </row>
    <row r="106" spans="1:13" x14ac:dyDescent="0.3">
      <c r="A106" s="68" t="s">
        <v>459</v>
      </c>
      <c r="B106" s="132">
        <f>Quarantine_Rate</f>
        <v>1.1000000000000001</v>
      </c>
      <c r="C106" s="137">
        <f>IF(B75="Rosen Center",E78,0)</f>
        <v>0</v>
      </c>
      <c r="D106" s="136">
        <f>IF(B75="Rosen Center",F78,0)</f>
        <v>0</v>
      </c>
      <c r="E106" s="135">
        <f>C106*D106*B106</f>
        <v>0</v>
      </c>
    </row>
    <row r="107" spans="1:13" x14ac:dyDescent="0.3">
      <c r="A107" s="130" t="s">
        <v>111</v>
      </c>
      <c r="B107" s="144"/>
      <c r="C107" s="137">
        <f>SUM(C104:C106)</f>
        <v>0</v>
      </c>
      <c r="D107" s="136">
        <f>SUM(D104:D106)</f>
        <v>0</v>
      </c>
      <c r="E107" s="26">
        <f t="shared" ref="E107" si="8">SUM(E104:E106)</f>
        <v>0</v>
      </c>
    </row>
    <row r="108" spans="1:13" s="16" customFormat="1" x14ac:dyDescent="0.3">
      <c r="A108" s="254" t="s">
        <v>229</v>
      </c>
      <c r="B108" s="255"/>
      <c r="C108" s="255"/>
      <c r="D108" s="255"/>
      <c r="E108" s="255"/>
      <c r="F108" s="255"/>
      <c r="G108" s="34"/>
      <c r="H108" s="34"/>
      <c r="I108" s="34"/>
      <c r="J108" s="34"/>
      <c r="K108" s="34"/>
      <c r="L108" s="34"/>
      <c r="M108" s="34"/>
    </row>
    <row r="109" spans="1:13" ht="51.9" customHeight="1" x14ac:dyDescent="0.3">
      <c r="A109" s="68" t="s">
        <v>115</v>
      </c>
      <c r="B109" s="278"/>
      <c r="C109" s="278"/>
      <c r="D109" s="278"/>
      <c r="E109" s="278"/>
      <c r="F109" s="278"/>
    </row>
    <row r="110" spans="1:13" ht="18.75" customHeight="1" x14ac:dyDescent="0.3">
      <c r="A110" s="68" t="s">
        <v>116</v>
      </c>
      <c r="B110" s="289"/>
      <c r="C110" s="289"/>
      <c r="D110" s="289"/>
      <c r="E110" s="289"/>
      <c r="F110" s="289"/>
    </row>
    <row r="111" spans="1:13" x14ac:dyDescent="0.3">
      <c r="A111" s="68" t="s">
        <v>117</v>
      </c>
      <c r="B111" s="258"/>
      <c r="C111" s="258"/>
      <c r="D111" s="258"/>
      <c r="E111" s="258"/>
      <c r="F111" s="258"/>
    </row>
    <row r="112" spans="1:13" x14ac:dyDescent="0.3">
      <c r="A112" s="68" t="s">
        <v>228</v>
      </c>
      <c r="B112" s="258"/>
      <c r="C112" s="258"/>
      <c r="D112" s="258"/>
      <c r="E112" s="258"/>
      <c r="F112" s="258"/>
    </row>
    <row r="113" spans="1:14" x14ac:dyDescent="0.3">
      <c r="A113" s="68" t="s">
        <v>118</v>
      </c>
      <c r="B113" s="257"/>
      <c r="C113" s="258"/>
      <c r="D113" s="258"/>
      <c r="E113" s="258"/>
      <c r="F113" s="258"/>
    </row>
    <row r="114" spans="1:14" x14ac:dyDescent="0.3">
      <c r="A114" s="68" t="s">
        <v>126</v>
      </c>
      <c r="B114" s="277"/>
      <c r="C114" s="277"/>
      <c r="D114" s="277"/>
      <c r="E114" s="277"/>
      <c r="F114" s="277"/>
    </row>
    <row r="115" spans="1:14" x14ac:dyDescent="0.3">
      <c r="A115" s="68" t="s">
        <v>127</v>
      </c>
      <c r="B115" s="277"/>
      <c r="C115" s="277"/>
      <c r="D115" s="277"/>
      <c r="E115" s="277"/>
      <c r="F115" s="277"/>
    </row>
    <row r="116" spans="1:14" x14ac:dyDescent="0.3">
      <c r="A116" s="68" t="s">
        <v>119</v>
      </c>
      <c r="B116" s="277"/>
      <c r="C116" s="277"/>
      <c r="D116" s="277"/>
      <c r="E116" s="277"/>
      <c r="F116" s="277"/>
    </row>
    <row r="117" spans="1:14" x14ac:dyDescent="0.3">
      <c r="A117" s="290" t="s">
        <v>120</v>
      </c>
      <c r="B117" s="286"/>
      <c r="C117" s="287"/>
      <c r="D117" s="287"/>
      <c r="E117" s="287"/>
      <c r="F117" s="288"/>
    </row>
    <row r="118" spans="1:14" ht="15.75" customHeight="1" x14ac:dyDescent="0.3">
      <c r="A118" s="291"/>
      <c r="B118" s="240"/>
      <c r="C118" s="241"/>
      <c r="D118" s="241"/>
      <c r="E118" s="241"/>
      <c r="F118" s="242"/>
      <c r="N118" s="60"/>
    </row>
    <row r="119" spans="1:14" x14ac:dyDescent="0.3">
      <c r="A119" s="291"/>
      <c r="B119" s="240"/>
      <c r="C119" s="241"/>
      <c r="D119" s="241"/>
      <c r="E119" s="241"/>
      <c r="F119" s="242"/>
    </row>
    <row r="120" spans="1:14" x14ac:dyDescent="0.3">
      <c r="A120" s="291"/>
      <c r="B120" s="240"/>
      <c r="C120" s="241"/>
      <c r="D120" s="241"/>
      <c r="E120" s="241"/>
      <c r="F120" s="242"/>
    </row>
    <row r="121" spans="1:14" x14ac:dyDescent="0.3">
      <c r="A121" s="291"/>
      <c r="B121" s="240"/>
      <c r="C121" s="241"/>
      <c r="D121" s="241"/>
      <c r="E121" s="241"/>
      <c r="F121" s="242"/>
    </row>
    <row r="122" spans="1:14" x14ac:dyDescent="0.3">
      <c r="A122" s="291"/>
      <c r="B122" s="240"/>
      <c r="C122" s="241"/>
      <c r="D122" s="241"/>
      <c r="E122" s="241"/>
      <c r="F122" s="242"/>
    </row>
    <row r="123" spans="1:14" x14ac:dyDescent="0.3">
      <c r="A123" s="291"/>
      <c r="B123" s="240"/>
      <c r="C123" s="241"/>
      <c r="D123" s="241"/>
      <c r="E123" s="241"/>
      <c r="F123" s="242"/>
    </row>
    <row r="124" spans="1:14" x14ac:dyDescent="0.3">
      <c r="A124" s="291"/>
      <c r="B124" s="240"/>
      <c r="C124" s="241"/>
      <c r="D124" s="241"/>
      <c r="E124" s="241"/>
      <c r="F124" s="242"/>
    </row>
    <row r="125" spans="1:14" x14ac:dyDescent="0.3">
      <c r="A125" s="292"/>
      <c r="B125" s="285"/>
      <c r="C125" s="285"/>
      <c r="D125" s="285"/>
      <c r="E125" s="285"/>
      <c r="F125" s="285"/>
    </row>
    <row r="126" spans="1:14" x14ac:dyDescent="0.3">
      <c r="A126" s="73" t="s">
        <v>121</v>
      </c>
      <c r="B126" s="249" t="s">
        <v>230</v>
      </c>
      <c r="C126" s="249"/>
      <c r="D126" s="18"/>
      <c r="E126" s="283"/>
      <c r="F126" s="284"/>
    </row>
    <row r="127" spans="1:14" x14ac:dyDescent="0.3">
      <c r="A127" s="68" t="s">
        <v>231</v>
      </c>
      <c r="B127" s="243"/>
      <c r="C127" s="244"/>
      <c r="D127" s="244"/>
      <c r="E127" s="244"/>
      <c r="F127" s="245"/>
    </row>
    <row r="128" spans="1:14" x14ac:dyDescent="0.3">
      <c r="A128" s="73" t="s">
        <v>122</v>
      </c>
      <c r="B128" s="249" t="s">
        <v>230</v>
      </c>
      <c r="C128" s="249"/>
      <c r="D128" s="18"/>
      <c r="E128" s="283"/>
      <c r="F128" s="284"/>
    </row>
    <row r="129" spans="1:13" x14ac:dyDescent="0.3">
      <c r="A129" s="75" t="s">
        <v>232</v>
      </c>
      <c r="B129" s="243"/>
      <c r="C129" s="244"/>
      <c r="D129" s="244"/>
      <c r="E129" s="244"/>
      <c r="F129" s="245"/>
    </row>
    <row r="130" spans="1:13" x14ac:dyDescent="0.3">
      <c r="A130" s="73" t="s">
        <v>123</v>
      </c>
      <c r="B130" s="249" t="s">
        <v>230</v>
      </c>
      <c r="C130" s="249"/>
      <c r="D130" s="18"/>
      <c r="E130" s="283"/>
      <c r="F130" s="284"/>
    </row>
    <row r="131" spans="1:13" x14ac:dyDescent="0.3">
      <c r="A131" s="75" t="s">
        <v>233</v>
      </c>
      <c r="B131" s="243"/>
      <c r="C131" s="244"/>
      <c r="D131" s="244"/>
      <c r="E131" s="244"/>
      <c r="F131" s="245"/>
    </row>
    <row r="132" spans="1:13" x14ac:dyDescent="0.3">
      <c r="A132" s="73" t="s">
        <v>124</v>
      </c>
      <c r="B132" s="249" t="s">
        <v>230</v>
      </c>
      <c r="C132" s="249"/>
      <c r="D132" s="18"/>
      <c r="E132" s="283"/>
      <c r="F132" s="284"/>
    </row>
    <row r="133" spans="1:13" x14ac:dyDescent="0.3">
      <c r="A133" s="75" t="s">
        <v>234</v>
      </c>
      <c r="B133" s="243"/>
      <c r="C133" s="244"/>
      <c r="D133" s="244"/>
      <c r="E133" s="244"/>
      <c r="F133" s="245"/>
    </row>
    <row r="134" spans="1:13" x14ac:dyDescent="0.3">
      <c r="A134" s="73" t="s">
        <v>125</v>
      </c>
      <c r="B134" s="76" t="s">
        <v>119</v>
      </c>
      <c r="C134" s="20" t="s">
        <v>128</v>
      </c>
      <c r="D134" s="246"/>
      <c r="E134" s="247"/>
      <c r="F134" s="248"/>
    </row>
    <row r="135" spans="1:13" x14ac:dyDescent="0.3">
      <c r="A135" s="75" t="s">
        <v>235</v>
      </c>
      <c r="B135" s="243"/>
      <c r="C135" s="244"/>
      <c r="D135" s="244"/>
      <c r="E135" s="244"/>
      <c r="F135" s="245"/>
    </row>
    <row r="136" spans="1:13" x14ac:dyDescent="0.3">
      <c r="A136" s="72" t="s">
        <v>129</v>
      </c>
      <c r="B136" s="279"/>
      <c r="C136" s="280"/>
      <c r="D136" s="280"/>
      <c r="E136" s="280"/>
      <c r="F136" s="281"/>
    </row>
    <row r="137" spans="1:13" x14ac:dyDescent="0.3">
      <c r="A137" s="72" t="s">
        <v>130</v>
      </c>
      <c r="B137" s="279"/>
      <c r="C137" s="280"/>
      <c r="D137" s="280"/>
      <c r="E137" s="280"/>
      <c r="F137" s="281"/>
    </row>
    <row r="138" spans="1:13" x14ac:dyDescent="0.3">
      <c r="A138" s="105" t="s">
        <v>131</v>
      </c>
      <c r="B138" s="279"/>
      <c r="C138" s="280"/>
      <c r="D138" s="280"/>
      <c r="E138" s="280"/>
      <c r="F138" s="281"/>
    </row>
    <row r="139" spans="1:13" ht="15.75" customHeight="1" thickBot="1" x14ac:dyDescent="0.35"/>
    <row r="140" spans="1:13" ht="20.100000000000001" customHeight="1" thickTop="1" thickBot="1" x14ac:dyDescent="0.35">
      <c r="A140" s="301" t="s">
        <v>211</v>
      </c>
      <c r="B140" s="301"/>
      <c r="C140" s="301"/>
      <c r="D140" s="301"/>
      <c r="E140" s="301"/>
      <c r="F140" s="301"/>
    </row>
    <row r="141" spans="1:13" s="16" customFormat="1" ht="57.75" customHeight="1" thickTop="1" x14ac:dyDescent="0.3">
      <c r="A141"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303"/>
      <c r="C141" s="304"/>
      <c r="D141"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141" s="294"/>
      <c r="F141" s="295"/>
      <c r="G141" s="34"/>
      <c r="H141" s="34"/>
      <c r="I141" s="34"/>
      <c r="J141" s="34"/>
      <c r="K141" s="34"/>
      <c r="L141" s="34"/>
      <c r="M141" s="34"/>
    </row>
    <row r="142" spans="1:13" ht="15.75" customHeight="1" x14ac:dyDescent="0.3">
      <c r="A142" s="231" t="s">
        <v>208</v>
      </c>
      <c r="B142" s="231"/>
      <c r="C142" s="231"/>
      <c r="D142" s="254" t="s">
        <v>456</v>
      </c>
      <c r="E142" s="255"/>
      <c r="F142" s="256"/>
    </row>
    <row r="143" spans="1:13" ht="18.75" customHeight="1" x14ac:dyDescent="0.3">
      <c r="A143" s="58" t="s">
        <v>182</v>
      </c>
      <c r="B143" s="222"/>
      <c r="C143" s="222"/>
      <c r="D143" s="73" t="s">
        <v>455</v>
      </c>
      <c r="E143" s="73" t="s">
        <v>451</v>
      </c>
      <c r="F143" s="73" t="s">
        <v>452</v>
      </c>
    </row>
    <row r="144" spans="1:13" x14ac:dyDescent="0.3">
      <c r="A144" s="58" t="s">
        <v>201</v>
      </c>
      <c r="B144" s="222"/>
      <c r="C144" s="222"/>
      <c r="D144" s="73" t="s">
        <v>448</v>
      </c>
      <c r="E144" s="156"/>
      <c r="F144" s="157"/>
      <c r="G144" s="113" t="str">
        <f>IF(AND(E144+F144&gt;0,$B$143&lt;&gt;"RIRE, Stuttgart",$B$143&lt;&gt;"Rosen Center",$B$143&lt;&gt;"Lonoke Ag Center"),"* Error - facility not available at selected Research Station","")</f>
        <v/>
      </c>
    </row>
    <row r="145" spans="1:14" x14ac:dyDescent="0.3">
      <c r="A145" s="58" t="s">
        <v>183</v>
      </c>
      <c r="B145" s="260"/>
      <c r="C145" s="260"/>
      <c r="D145" s="73" t="s">
        <v>449</v>
      </c>
      <c r="E145" s="156"/>
      <c r="F145" s="158"/>
      <c r="G145" s="113" t="str">
        <f>IF(AND(E145+F145&gt;0,$B$143&lt;&gt;"RIRE, Stuttgart",$B$143&lt;&gt;"Rosen Center"),"* Error - facility not available at selected Research Station","")</f>
        <v/>
      </c>
    </row>
    <row r="146" spans="1:14" x14ac:dyDescent="0.3">
      <c r="A146" s="58" t="s">
        <v>184</v>
      </c>
      <c r="B146" s="260"/>
      <c r="C146" s="260"/>
      <c r="D146" s="73" t="s">
        <v>450</v>
      </c>
      <c r="E146" s="156"/>
      <c r="F146" s="158"/>
      <c r="G146" s="113" t="str">
        <f>IF(AND(E146+F146&gt;0,$B$143&lt;&gt;"Rosen Center"),"* Error - facility not available at selected Research Station","")</f>
        <v/>
      </c>
    </row>
    <row r="147" spans="1:14" x14ac:dyDescent="0.3">
      <c r="A147" s="58" t="s">
        <v>185</v>
      </c>
      <c r="B147" s="260"/>
      <c r="C147" s="260"/>
      <c r="D147" s="263" t="str">
        <f>IF(OR(G144="* Error - facility not available at selected Research Station",G145="* Error - facility not available at selected Research Station",G146="* Error - facility not available at selected Research Station"),"See error message(s)","")</f>
        <v/>
      </c>
      <c r="E147" s="272"/>
      <c r="F147" s="273"/>
    </row>
    <row r="148" spans="1:14" x14ac:dyDescent="0.3">
      <c r="A148" s="58" t="s">
        <v>186</v>
      </c>
      <c r="B148" s="260"/>
      <c r="C148" s="260"/>
      <c r="D148" s="274"/>
      <c r="E148" s="275"/>
      <c r="F148" s="276"/>
    </row>
    <row r="149" spans="1:14" ht="75.75" customHeight="1" x14ac:dyDescent="0.3">
      <c r="A149" s="282" t="s">
        <v>336</v>
      </c>
      <c r="B149" s="282"/>
      <c r="C149" s="282"/>
      <c r="D149" s="282"/>
      <c r="E149" s="282"/>
      <c r="F149" s="282"/>
    </row>
    <row r="150" spans="1:14" ht="31.2" x14ac:dyDescent="0.3">
      <c r="A150" s="29" t="s">
        <v>11</v>
      </c>
      <c r="B150" s="29" t="s">
        <v>114</v>
      </c>
      <c r="C150" s="159" t="s">
        <v>141</v>
      </c>
      <c r="D150" s="29" t="s">
        <v>132</v>
      </c>
    </row>
    <row r="151" spans="1:14" ht="23.4" x14ac:dyDescent="0.3">
      <c r="A151" s="23" t="s">
        <v>113</v>
      </c>
      <c r="B151" s="7" t="e">
        <f>IF(OR(B143="Rosen Center",B143="Lonoke Ag Center"),0,IF(B143&lt;&gt;"RIRE, Stuttgart",HLOOKUP(B144,Fixed_Rate_Optional,2,FALSE)*B145,100*B145))</f>
        <v>#N/A</v>
      </c>
      <c r="C151" s="13" t="s">
        <v>112</v>
      </c>
      <c r="D151" s="7" t="e">
        <f t="shared" ref="D151" si="9">IF(C151="Yes",B151,0)</f>
        <v>#N/A</v>
      </c>
      <c r="N151" s="60"/>
    </row>
    <row r="152" spans="1:14" ht="15.75" customHeight="1" x14ac:dyDescent="0.3">
      <c r="A152" s="28" t="s">
        <v>140</v>
      </c>
      <c r="B152" s="24"/>
      <c r="C152" s="24"/>
      <c r="D152" s="25"/>
      <c r="N152" s="60"/>
    </row>
    <row r="153" spans="1:14" x14ac:dyDescent="0.3">
      <c r="A153" s="23" t="s">
        <v>5</v>
      </c>
      <c r="B153" s="12" t="e">
        <f t="shared" ref="B153:B161" si="10">IF(OR($B$143="Rosen Center",$B$143="Lonoke Ag Center"),0,INDEX(Fixed_Rate_Optional,MATCH(A153,Expense_Item,0),MATCH($B$144,Commodity_Item,0))*$B$145)</f>
        <v>#N/A</v>
      </c>
      <c r="C153" s="27"/>
      <c r="D153" s="7">
        <f t="shared" ref="D153:D162" si="11">IF(C153="Yes",B153,0)</f>
        <v>0</v>
      </c>
    </row>
    <row r="154" spans="1:14" x14ac:dyDescent="0.3">
      <c r="A154" s="23" t="s">
        <v>6</v>
      </c>
      <c r="B154" s="12" t="e">
        <f t="shared" si="10"/>
        <v>#N/A</v>
      </c>
      <c r="C154" s="27"/>
      <c r="D154" s="7">
        <f t="shared" si="11"/>
        <v>0</v>
      </c>
    </row>
    <row r="155" spans="1:14" x14ac:dyDescent="0.3">
      <c r="A155" s="23" t="s">
        <v>7</v>
      </c>
      <c r="B155" s="12" t="e">
        <f t="shared" si="10"/>
        <v>#N/A</v>
      </c>
      <c r="C155" s="27"/>
      <c r="D155" s="7">
        <f t="shared" si="11"/>
        <v>0</v>
      </c>
    </row>
    <row r="156" spans="1:14" x14ac:dyDescent="0.3">
      <c r="A156" s="23" t="s">
        <v>8</v>
      </c>
      <c r="B156" s="12" t="e">
        <f t="shared" si="10"/>
        <v>#N/A</v>
      </c>
      <c r="C156" s="27"/>
      <c r="D156" s="7">
        <f t="shared" si="11"/>
        <v>0</v>
      </c>
    </row>
    <row r="157" spans="1:14" x14ac:dyDescent="0.3">
      <c r="A157" s="23" t="s">
        <v>9</v>
      </c>
      <c r="B157" s="12" t="e">
        <f t="shared" si="10"/>
        <v>#N/A</v>
      </c>
      <c r="C157" s="27"/>
      <c r="D157" s="7">
        <f t="shared" si="11"/>
        <v>0</v>
      </c>
    </row>
    <row r="158" spans="1:14" x14ac:dyDescent="0.3">
      <c r="A158" s="23" t="s">
        <v>10</v>
      </c>
      <c r="B158" s="12" t="e">
        <f t="shared" si="10"/>
        <v>#N/A</v>
      </c>
      <c r="C158" s="27"/>
      <c r="D158" s="7">
        <f t="shared" si="11"/>
        <v>0</v>
      </c>
    </row>
    <row r="159" spans="1:14" x14ac:dyDescent="0.3">
      <c r="A159" s="23" t="s">
        <v>13</v>
      </c>
      <c r="B159" s="12" t="e">
        <f t="shared" si="10"/>
        <v>#N/A</v>
      </c>
      <c r="C159" s="27"/>
      <c r="D159" s="7">
        <f t="shared" si="11"/>
        <v>0</v>
      </c>
    </row>
    <row r="160" spans="1:14" x14ac:dyDescent="0.3">
      <c r="A160" s="23" t="s">
        <v>14</v>
      </c>
      <c r="B160" s="12" t="e">
        <f t="shared" si="10"/>
        <v>#N/A</v>
      </c>
      <c r="C160" s="27"/>
      <c r="D160" s="7">
        <f t="shared" si="11"/>
        <v>0</v>
      </c>
    </row>
    <row r="161" spans="1:6" x14ac:dyDescent="0.3">
      <c r="A161" s="23" t="s">
        <v>15</v>
      </c>
      <c r="B161" s="12" t="e">
        <f t="shared" si="10"/>
        <v>#N/A</v>
      </c>
      <c r="C161" s="27"/>
      <c r="D161" s="7">
        <f t="shared" si="11"/>
        <v>0</v>
      </c>
    </row>
    <row r="162" spans="1:6" x14ac:dyDescent="0.3">
      <c r="A162" s="23" t="s">
        <v>16</v>
      </c>
      <c r="B162" s="12" t="e">
        <f>IF(OR(B143="Rosen Center",B143="Lonoke Ag Center"),0,INDEX(Fixed_Rate_Optional,MATCH(A162,Expense_Item,0),MATCH(B144,Commodity_Item,0))*B147*B148)</f>
        <v>#N/A</v>
      </c>
      <c r="C162" s="27"/>
      <c r="D162" s="7">
        <f t="shared" si="11"/>
        <v>0</v>
      </c>
    </row>
    <row r="163" spans="1:6" x14ac:dyDescent="0.3">
      <c r="A163" s="28" t="s">
        <v>133</v>
      </c>
      <c r="B163" s="298"/>
      <c r="C163" s="299"/>
      <c r="D163" s="300"/>
    </row>
    <row r="164" spans="1:6" x14ac:dyDescent="0.3">
      <c r="A164" s="23" t="s">
        <v>134</v>
      </c>
      <c r="B164" s="12" t="e">
        <f t="shared" ref="B164:B169" si="12">IF(OR($B$143="Rosen Center",$B$143="Lonoke Ag Center"),0,INDEX(Fixed_Rate_Optional,MATCH(A164,Expense_Item,0),MATCH($B$144,Commodity_Item,0))*$B$145)</f>
        <v>#N/A</v>
      </c>
      <c r="C164" s="27"/>
      <c r="D164" s="7">
        <f t="shared" ref="D164:D169" si="13">IF(C164="Yes",B164,0)</f>
        <v>0</v>
      </c>
    </row>
    <row r="165" spans="1:6" x14ac:dyDescent="0.3">
      <c r="A165" s="23" t="s">
        <v>135</v>
      </c>
      <c r="B165" s="12" t="e">
        <f t="shared" si="12"/>
        <v>#N/A</v>
      </c>
      <c r="C165" s="27"/>
      <c r="D165" s="7">
        <f t="shared" si="13"/>
        <v>0</v>
      </c>
    </row>
    <row r="166" spans="1:6" x14ac:dyDescent="0.3">
      <c r="A166" s="23" t="s">
        <v>136</v>
      </c>
      <c r="B166" s="12" t="e">
        <f t="shared" si="12"/>
        <v>#N/A</v>
      </c>
      <c r="C166" s="27"/>
      <c r="D166" s="7">
        <f t="shared" si="13"/>
        <v>0</v>
      </c>
    </row>
    <row r="167" spans="1:6" x14ac:dyDescent="0.3">
      <c r="A167" s="23" t="s">
        <v>137</v>
      </c>
      <c r="B167" s="12" t="e">
        <f t="shared" si="12"/>
        <v>#N/A</v>
      </c>
      <c r="C167" s="27"/>
      <c r="D167" s="7">
        <f t="shared" si="13"/>
        <v>0</v>
      </c>
    </row>
    <row r="168" spans="1:6" x14ac:dyDescent="0.3">
      <c r="A168" s="23" t="s">
        <v>138</v>
      </c>
      <c r="B168" s="12" t="e">
        <f t="shared" si="12"/>
        <v>#N/A</v>
      </c>
      <c r="C168" s="27"/>
      <c r="D168" s="7">
        <f t="shared" si="13"/>
        <v>0</v>
      </c>
    </row>
    <row r="169" spans="1:6" x14ac:dyDescent="0.3">
      <c r="A169" s="23" t="s">
        <v>139</v>
      </c>
      <c r="B169" s="12" t="e">
        <f t="shared" si="12"/>
        <v>#N/A</v>
      </c>
      <c r="C169" s="27"/>
      <c r="D169" s="7">
        <f t="shared" si="13"/>
        <v>0</v>
      </c>
    </row>
    <row r="170" spans="1:6" x14ac:dyDescent="0.3">
      <c r="A170" s="28" t="str">
        <f>B143&amp;" Total"</f>
        <v xml:space="preserve"> Total</v>
      </c>
      <c r="B170" s="121"/>
      <c r="C170" s="20"/>
      <c r="D170" s="26" t="e">
        <f>SUM(D151,D153:D162,D164:D169)</f>
        <v>#N/A</v>
      </c>
    </row>
    <row r="171" spans="1:6" ht="15.75" customHeight="1" x14ac:dyDescent="0.3">
      <c r="A171" s="28" t="s">
        <v>460</v>
      </c>
      <c r="B171" s="29" t="s">
        <v>464</v>
      </c>
      <c r="C171" s="29" t="s">
        <v>466</v>
      </c>
      <c r="D171" s="29" t="s">
        <v>465</v>
      </c>
      <c r="E171" s="29" t="s">
        <v>111</v>
      </c>
    </row>
    <row r="172" spans="1:6" x14ac:dyDescent="0.3">
      <c r="A172" s="68" t="s">
        <v>457</v>
      </c>
      <c r="B172" s="132">
        <f>Greenhouse_Rate</f>
        <v>1</v>
      </c>
      <c r="C172" s="137">
        <f>IF(OR(B143="Lonoke Ag Center",B143="RIRE, Stuttgart",B143="Rosen Center"),E144,0)</f>
        <v>0</v>
      </c>
      <c r="D172" s="136">
        <f>IF(OR(B143="Lonoke Ag Center",B143="RIRE, Stuttgart",B143="Rosen Center"),F144,0)</f>
        <v>0</v>
      </c>
      <c r="E172" s="135">
        <f>C172*D172*B172</f>
        <v>0</v>
      </c>
    </row>
    <row r="173" spans="1:6" x14ac:dyDescent="0.3">
      <c r="A173" s="68" t="s">
        <v>458</v>
      </c>
      <c r="B173" s="132">
        <f>Growth_Chamber_Rate</f>
        <v>6.8</v>
      </c>
      <c r="C173" s="137">
        <f>IF(OR(B143="RIRE, Stuttgart",B143="Rosen Center"),E145,0)</f>
        <v>0</v>
      </c>
      <c r="D173" s="136">
        <f>IF(OR(B143="RIRE, Stuttgart",B143="Rosen Center"),F145,0)</f>
        <v>0</v>
      </c>
      <c r="E173" s="135">
        <f>C173*D173*B173</f>
        <v>0</v>
      </c>
    </row>
    <row r="174" spans="1:6" x14ac:dyDescent="0.3">
      <c r="A174" s="68" t="s">
        <v>459</v>
      </c>
      <c r="B174" s="132">
        <f>Quarantine_Rate</f>
        <v>1.1000000000000001</v>
      </c>
      <c r="C174" s="137">
        <f>IF(B143="Rosen Center",E146,0)</f>
        <v>0</v>
      </c>
      <c r="D174" s="136">
        <f>IF(B143="Rosen Center",F146,0)</f>
        <v>0</v>
      </c>
      <c r="E174" s="135">
        <f>C174*D174*B174</f>
        <v>0</v>
      </c>
    </row>
    <row r="175" spans="1:6" x14ac:dyDescent="0.3">
      <c r="A175" s="130" t="s">
        <v>111</v>
      </c>
      <c r="B175" s="144"/>
      <c r="C175" s="137">
        <f>SUM(C172:C174)</f>
        <v>0</v>
      </c>
      <c r="D175" s="136">
        <f>SUM(D172:D174)</f>
        <v>0</v>
      </c>
      <c r="E175" s="26">
        <f t="shared" ref="E175" si="14">SUM(E172:E174)</f>
        <v>0</v>
      </c>
    </row>
    <row r="176" spans="1:6" x14ac:dyDescent="0.3">
      <c r="A176" s="254" t="s">
        <v>229</v>
      </c>
      <c r="B176" s="255"/>
      <c r="C176" s="255"/>
      <c r="D176" s="255"/>
      <c r="E176" s="255"/>
      <c r="F176" s="255"/>
    </row>
    <row r="177" spans="1:6" x14ac:dyDescent="0.3">
      <c r="A177" s="68" t="s">
        <v>115</v>
      </c>
      <c r="B177" s="278"/>
      <c r="C177" s="278"/>
      <c r="D177" s="278"/>
      <c r="E177" s="278"/>
      <c r="F177" s="278"/>
    </row>
    <row r="178" spans="1:6" x14ac:dyDescent="0.3">
      <c r="A178" s="68" t="s">
        <v>116</v>
      </c>
      <c r="B178" s="289"/>
      <c r="C178" s="289"/>
      <c r="D178" s="289"/>
      <c r="E178" s="289"/>
      <c r="F178" s="289"/>
    </row>
    <row r="179" spans="1:6" x14ac:dyDescent="0.3">
      <c r="A179" s="68" t="s">
        <v>117</v>
      </c>
      <c r="B179" s="258"/>
      <c r="C179" s="258"/>
      <c r="D179" s="258"/>
      <c r="E179" s="258"/>
      <c r="F179" s="258"/>
    </row>
    <row r="180" spans="1:6" x14ac:dyDescent="0.3">
      <c r="A180" s="68" t="s">
        <v>228</v>
      </c>
      <c r="B180" s="258"/>
      <c r="C180" s="258"/>
      <c r="D180" s="258"/>
      <c r="E180" s="258"/>
      <c r="F180" s="258"/>
    </row>
    <row r="181" spans="1:6" x14ac:dyDescent="0.3">
      <c r="A181" s="68" t="s">
        <v>118</v>
      </c>
      <c r="B181" s="257"/>
      <c r="C181" s="258"/>
      <c r="D181" s="258"/>
      <c r="E181" s="258"/>
      <c r="F181" s="258"/>
    </row>
    <row r="182" spans="1:6" x14ac:dyDescent="0.3">
      <c r="A182" s="68" t="s">
        <v>126</v>
      </c>
      <c r="B182" s="277"/>
      <c r="C182" s="277"/>
      <c r="D182" s="277"/>
      <c r="E182" s="277"/>
      <c r="F182" s="277"/>
    </row>
    <row r="183" spans="1:6" x14ac:dyDescent="0.3">
      <c r="A183" s="68" t="s">
        <v>127</v>
      </c>
      <c r="B183" s="277"/>
      <c r="C183" s="277"/>
      <c r="D183" s="277"/>
      <c r="E183" s="277"/>
      <c r="F183" s="277"/>
    </row>
    <row r="184" spans="1:6" x14ac:dyDescent="0.3">
      <c r="A184" s="68" t="s">
        <v>119</v>
      </c>
      <c r="B184" s="277"/>
      <c r="C184" s="277"/>
      <c r="D184" s="277"/>
      <c r="E184" s="277"/>
      <c r="F184" s="277"/>
    </row>
    <row r="185" spans="1:6" x14ac:dyDescent="0.3">
      <c r="A185" s="290" t="s">
        <v>120</v>
      </c>
      <c r="B185" s="286"/>
      <c r="C185" s="287"/>
      <c r="D185" s="287"/>
      <c r="E185" s="287"/>
      <c r="F185" s="288"/>
    </row>
    <row r="186" spans="1:6" x14ac:dyDescent="0.3">
      <c r="A186" s="291"/>
      <c r="B186" s="240"/>
      <c r="C186" s="241"/>
      <c r="D186" s="241"/>
      <c r="E186" s="241"/>
      <c r="F186" s="242"/>
    </row>
    <row r="187" spans="1:6" x14ac:dyDescent="0.3">
      <c r="A187" s="291"/>
      <c r="B187" s="240"/>
      <c r="C187" s="241"/>
      <c r="D187" s="241"/>
      <c r="E187" s="241"/>
      <c r="F187" s="242"/>
    </row>
    <row r="188" spans="1:6" x14ac:dyDescent="0.3">
      <c r="A188" s="291"/>
      <c r="B188" s="240"/>
      <c r="C188" s="241"/>
      <c r="D188" s="241"/>
      <c r="E188" s="241"/>
      <c r="F188" s="242"/>
    </row>
    <row r="189" spans="1:6" x14ac:dyDescent="0.3">
      <c r="A189" s="291"/>
      <c r="B189" s="240"/>
      <c r="C189" s="241"/>
      <c r="D189" s="241"/>
      <c r="E189" s="241"/>
      <c r="F189" s="242"/>
    </row>
    <row r="190" spans="1:6" x14ac:dyDescent="0.3">
      <c r="A190" s="291"/>
      <c r="B190" s="240"/>
      <c r="C190" s="241"/>
      <c r="D190" s="241"/>
      <c r="E190" s="241"/>
      <c r="F190" s="242"/>
    </row>
    <row r="191" spans="1:6" x14ac:dyDescent="0.3">
      <c r="A191" s="291"/>
      <c r="B191" s="240"/>
      <c r="C191" s="241"/>
      <c r="D191" s="241"/>
      <c r="E191" s="241"/>
      <c r="F191" s="242"/>
    </row>
    <row r="192" spans="1:6" x14ac:dyDescent="0.3">
      <c r="A192" s="291"/>
      <c r="B192" s="240"/>
      <c r="C192" s="241"/>
      <c r="D192" s="241"/>
      <c r="E192" s="241"/>
      <c r="F192" s="242"/>
    </row>
    <row r="193" spans="1:6" x14ac:dyDescent="0.3">
      <c r="A193" s="292"/>
      <c r="B193" s="285"/>
      <c r="C193" s="285"/>
      <c r="D193" s="285"/>
      <c r="E193" s="285"/>
      <c r="F193" s="285"/>
    </row>
    <row r="194" spans="1:6" x14ac:dyDescent="0.3">
      <c r="A194" s="73" t="s">
        <v>121</v>
      </c>
      <c r="B194" s="249" t="s">
        <v>230</v>
      </c>
      <c r="C194" s="249"/>
      <c r="D194" s="18"/>
      <c r="E194" s="283"/>
      <c r="F194" s="284"/>
    </row>
    <row r="195" spans="1:6" x14ac:dyDescent="0.3">
      <c r="A195" s="68" t="s">
        <v>231</v>
      </c>
      <c r="B195" s="243"/>
      <c r="C195" s="244"/>
      <c r="D195" s="244"/>
      <c r="E195" s="244"/>
      <c r="F195" s="245"/>
    </row>
    <row r="196" spans="1:6" x14ac:dyDescent="0.3">
      <c r="A196" s="73" t="s">
        <v>122</v>
      </c>
      <c r="B196" s="249" t="s">
        <v>230</v>
      </c>
      <c r="C196" s="249"/>
      <c r="D196" s="18"/>
      <c r="E196" s="283"/>
      <c r="F196" s="284"/>
    </row>
    <row r="197" spans="1:6" x14ac:dyDescent="0.3">
      <c r="A197" s="75" t="s">
        <v>232</v>
      </c>
      <c r="B197" s="243"/>
      <c r="C197" s="244"/>
      <c r="D197" s="244"/>
      <c r="E197" s="244"/>
      <c r="F197" s="245"/>
    </row>
    <row r="198" spans="1:6" x14ac:dyDescent="0.3">
      <c r="A198" s="73" t="s">
        <v>123</v>
      </c>
      <c r="B198" s="249" t="s">
        <v>230</v>
      </c>
      <c r="C198" s="249"/>
      <c r="D198" s="18"/>
      <c r="E198" s="283"/>
      <c r="F198" s="284"/>
    </row>
    <row r="199" spans="1:6" x14ac:dyDescent="0.3">
      <c r="A199" s="75" t="s">
        <v>233</v>
      </c>
      <c r="B199" s="243"/>
      <c r="C199" s="244"/>
      <c r="D199" s="244"/>
      <c r="E199" s="244"/>
      <c r="F199" s="245"/>
    </row>
    <row r="200" spans="1:6" x14ac:dyDescent="0.3">
      <c r="A200" s="73" t="s">
        <v>124</v>
      </c>
      <c r="B200" s="249" t="s">
        <v>230</v>
      </c>
      <c r="C200" s="249"/>
      <c r="D200" s="18"/>
      <c r="E200" s="283"/>
      <c r="F200" s="284"/>
    </row>
    <row r="201" spans="1:6" x14ac:dyDescent="0.3">
      <c r="A201" s="75" t="s">
        <v>234</v>
      </c>
      <c r="B201" s="243"/>
      <c r="C201" s="244"/>
      <c r="D201" s="244"/>
      <c r="E201" s="244"/>
      <c r="F201" s="245"/>
    </row>
    <row r="202" spans="1:6" x14ac:dyDescent="0.3">
      <c r="A202" s="73" t="s">
        <v>125</v>
      </c>
      <c r="B202" s="76" t="s">
        <v>119</v>
      </c>
      <c r="C202" s="20" t="s">
        <v>128</v>
      </c>
      <c r="D202" s="246"/>
      <c r="E202" s="247"/>
      <c r="F202" s="248"/>
    </row>
    <row r="203" spans="1:6" x14ac:dyDescent="0.3">
      <c r="A203" s="75" t="s">
        <v>235</v>
      </c>
      <c r="B203" s="243"/>
      <c r="C203" s="244"/>
      <c r="D203" s="244"/>
      <c r="E203" s="244"/>
      <c r="F203" s="245"/>
    </row>
    <row r="204" spans="1:6" x14ac:dyDescent="0.3">
      <c r="A204" s="72" t="s">
        <v>129</v>
      </c>
      <c r="B204" s="279"/>
      <c r="C204" s="280"/>
      <c r="D204" s="280"/>
      <c r="E204" s="280"/>
      <c r="F204" s="281"/>
    </row>
    <row r="205" spans="1:6" x14ac:dyDescent="0.3">
      <c r="A205" s="72" t="s">
        <v>130</v>
      </c>
      <c r="B205" s="279"/>
      <c r="C205" s="280"/>
      <c r="D205" s="280"/>
      <c r="E205" s="280"/>
      <c r="F205" s="281"/>
    </row>
    <row r="206" spans="1:6" x14ac:dyDescent="0.3">
      <c r="A206" s="77" t="s">
        <v>131</v>
      </c>
      <c r="B206" s="279"/>
      <c r="C206" s="280"/>
      <c r="D206" s="280"/>
      <c r="E206" s="280"/>
      <c r="F206" s="281"/>
    </row>
    <row r="207" spans="1:6" ht="15.75" customHeight="1" thickBot="1" x14ac:dyDescent="0.35"/>
    <row r="208" spans="1:6" ht="20.100000000000001" customHeight="1" thickTop="1" thickBot="1" x14ac:dyDescent="0.35">
      <c r="A208" s="301" t="s">
        <v>212</v>
      </c>
      <c r="B208" s="301"/>
      <c r="C208" s="301"/>
      <c r="D208" s="301"/>
      <c r="E208" s="301"/>
      <c r="F208" s="301"/>
    </row>
    <row r="209" spans="1:7" ht="55.5" customHeight="1" thickTop="1" x14ac:dyDescent="0.3">
      <c r="A209"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303"/>
      <c r="C209" s="304"/>
      <c r="D209"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209" s="294"/>
      <c r="F209" s="295"/>
    </row>
    <row r="210" spans="1:7" ht="18.75" customHeight="1" x14ac:dyDescent="0.3">
      <c r="A210" s="231" t="s">
        <v>208</v>
      </c>
      <c r="B210" s="231"/>
      <c r="C210" s="231"/>
      <c r="D210" s="254" t="s">
        <v>456</v>
      </c>
      <c r="E210" s="255"/>
      <c r="F210" s="256"/>
    </row>
    <row r="211" spans="1:7" x14ac:dyDescent="0.3">
      <c r="A211" s="58" t="s">
        <v>182</v>
      </c>
      <c r="B211" s="222"/>
      <c r="C211" s="222"/>
      <c r="D211" s="73" t="s">
        <v>455</v>
      </c>
      <c r="E211" s="73" t="s">
        <v>451</v>
      </c>
      <c r="F211" s="73" t="s">
        <v>452</v>
      </c>
    </row>
    <row r="212" spans="1:7" x14ac:dyDescent="0.3">
      <c r="A212" s="58" t="s">
        <v>201</v>
      </c>
      <c r="B212" s="222"/>
      <c r="C212" s="222"/>
      <c r="D212" s="73" t="s">
        <v>448</v>
      </c>
      <c r="E212" s="156"/>
      <c r="F212" s="157"/>
      <c r="G212" s="113" t="str">
        <f>IF(AND(E212+F212&gt;0,$B$211&lt;&gt;"RIRE, Stuttgart",$B$211&lt;&gt;"Rosen Center",$B$211&lt;&gt;"Lonoke Ag Center"),"* Error - facility not available at selected Research Station","")</f>
        <v/>
      </c>
    </row>
    <row r="213" spans="1:7" x14ac:dyDescent="0.3">
      <c r="A213" s="58" t="s">
        <v>183</v>
      </c>
      <c r="B213" s="260"/>
      <c r="C213" s="260"/>
      <c r="D213" s="73" t="s">
        <v>449</v>
      </c>
      <c r="E213" s="156"/>
      <c r="F213" s="158"/>
      <c r="G213" s="113" t="str">
        <f>IF(AND(E213+F213&gt;0,$B$211&lt;&gt;"RIRE, Stuttgart",$B$211&lt;&gt;"Rosen Center"),"* Error - facility not available at selected Research Station","")</f>
        <v/>
      </c>
    </row>
    <row r="214" spans="1:7" x14ac:dyDescent="0.3">
      <c r="A214" s="58" t="s">
        <v>184</v>
      </c>
      <c r="B214" s="260"/>
      <c r="C214" s="260"/>
      <c r="D214" s="73" t="s">
        <v>450</v>
      </c>
      <c r="E214" s="156"/>
      <c r="F214" s="158"/>
      <c r="G214" s="113" t="str">
        <f>IF(AND(E214+F214&gt;0,$B$211&lt;&gt;"Rosen Center"),"* Error - facility not available at selected Research Station","")</f>
        <v/>
      </c>
    </row>
    <row r="215" spans="1:7" ht="15.75" customHeight="1" x14ac:dyDescent="0.3">
      <c r="A215" s="58" t="s">
        <v>185</v>
      </c>
      <c r="B215" s="260"/>
      <c r="C215" s="260"/>
      <c r="D215" s="263" t="str">
        <f>IF(OR(G212="* Error - facility not available at selected Research Station",G213="* Error - facility not available at selected Research Station",G214="* Error - facility not available at selected Research Station"),"See error message(s)","")</f>
        <v/>
      </c>
      <c r="E215" s="272"/>
      <c r="F215" s="273"/>
    </row>
    <row r="216" spans="1:7" x14ac:dyDescent="0.3">
      <c r="A216" s="58" t="s">
        <v>186</v>
      </c>
      <c r="B216" s="260"/>
      <c r="C216" s="260"/>
      <c r="D216" s="274"/>
      <c r="E216" s="275"/>
      <c r="F216" s="276"/>
    </row>
    <row r="217" spans="1:7" ht="75.75" customHeight="1" x14ac:dyDescent="0.3">
      <c r="A217" s="282" t="s">
        <v>336</v>
      </c>
      <c r="B217" s="282"/>
      <c r="C217" s="282"/>
      <c r="D217" s="282"/>
      <c r="E217" s="282"/>
      <c r="F217" s="282"/>
    </row>
    <row r="218" spans="1:7" ht="31.2" x14ac:dyDescent="0.3">
      <c r="A218" s="29" t="s">
        <v>11</v>
      </c>
      <c r="B218" s="29" t="s">
        <v>114</v>
      </c>
      <c r="C218" s="159" t="s">
        <v>141</v>
      </c>
      <c r="D218" s="29" t="s">
        <v>132</v>
      </c>
    </row>
    <row r="219" spans="1:7" x14ac:dyDescent="0.3">
      <c r="A219" s="23" t="s">
        <v>113</v>
      </c>
      <c r="B219" s="7" t="e">
        <f>IF(OR(B211="Rosen Center",B211="Lonoke Ag Center"),0,IF(B211&lt;&gt;"RIRE, Stuttgart",HLOOKUP(B212,Fixed_Rate_Optional,2,FALSE)*B213,100*B213))</f>
        <v>#N/A</v>
      </c>
      <c r="C219" s="13" t="s">
        <v>112</v>
      </c>
      <c r="D219" s="119" t="e">
        <f t="shared" ref="D219" si="15">IF(C219="Yes",B219,0)</f>
        <v>#N/A</v>
      </c>
    </row>
    <row r="220" spans="1:7" x14ac:dyDescent="0.3">
      <c r="A220" s="28" t="s">
        <v>140</v>
      </c>
      <c r="B220" s="24"/>
      <c r="C220" s="24"/>
      <c r="D220" s="25"/>
    </row>
    <row r="221" spans="1:7" x14ac:dyDescent="0.3">
      <c r="A221" s="23" t="s">
        <v>5</v>
      </c>
      <c r="B221" s="12" t="e">
        <f t="shared" ref="B221:B229" si="16">IF(OR($B$211="Rosen Center",$B$211="Lonoke Ag Center"),0,INDEX(Fixed_Rate_Optional,MATCH(A221,Expense_Item,0),MATCH($B$212,Commodity_Item,0))*$B$213)</f>
        <v>#N/A</v>
      </c>
      <c r="C221" s="27"/>
      <c r="D221" s="7">
        <f t="shared" ref="D221:D230" si="17">IF(C221="Yes",B221,0)</f>
        <v>0</v>
      </c>
    </row>
    <row r="222" spans="1:7" x14ac:dyDescent="0.3">
      <c r="A222" s="23" t="s">
        <v>6</v>
      </c>
      <c r="B222" s="12" t="e">
        <f t="shared" si="16"/>
        <v>#N/A</v>
      </c>
      <c r="C222" s="27"/>
      <c r="D222" s="7">
        <f t="shared" si="17"/>
        <v>0</v>
      </c>
    </row>
    <row r="223" spans="1:7" x14ac:dyDescent="0.3">
      <c r="A223" s="23" t="s">
        <v>7</v>
      </c>
      <c r="B223" s="12" t="e">
        <f t="shared" si="16"/>
        <v>#N/A</v>
      </c>
      <c r="C223" s="27"/>
      <c r="D223" s="7">
        <f t="shared" si="17"/>
        <v>0</v>
      </c>
    </row>
    <row r="224" spans="1:7" x14ac:dyDescent="0.3">
      <c r="A224" s="23" t="s">
        <v>8</v>
      </c>
      <c r="B224" s="12" t="e">
        <f t="shared" si="16"/>
        <v>#N/A</v>
      </c>
      <c r="C224" s="27"/>
      <c r="D224" s="7">
        <f t="shared" si="17"/>
        <v>0</v>
      </c>
    </row>
    <row r="225" spans="1:5" x14ac:dyDescent="0.3">
      <c r="A225" s="23" t="s">
        <v>9</v>
      </c>
      <c r="B225" s="12" t="e">
        <f t="shared" si="16"/>
        <v>#N/A</v>
      </c>
      <c r="C225" s="27"/>
      <c r="D225" s="7">
        <f t="shared" si="17"/>
        <v>0</v>
      </c>
    </row>
    <row r="226" spans="1:5" x14ac:dyDescent="0.3">
      <c r="A226" s="23" t="s">
        <v>10</v>
      </c>
      <c r="B226" s="12" t="e">
        <f t="shared" si="16"/>
        <v>#N/A</v>
      </c>
      <c r="C226" s="27"/>
      <c r="D226" s="7">
        <f t="shared" si="17"/>
        <v>0</v>
      </c>
    </row>
    <row r="227" spans="1:5" x14ac:dyDescent="0.3">
      <c r="A227" s="23" t="s">
        <v>13</v>
      </c>
      <c r="B227" s="12" t="e">
        <f t="shared" si="16"/>
        <v>#N/A</v>
      </c>
      <c r="C227" s="27"/>
      <c r="D227" s="7">
        <f t="shared" si="17"/>
        <v>0</v>
      </c>
    </row>
    <row r="228" spans="1:5" x14ac:dyDescent="0.3">
      <c r="A228" s="23" t="s">
        <v>14</v>
      </c>
      <c r="B228" s="12" t="e">
        <f t="shared" si="16"/>
        <v>#N/A</v>
      </c>
      <c r="C228" s="27"/>
      <c r="D228" s="7">
        <f t="shared" si="17"/>
        <v>0</v>
      </c>
    </row>
    <row r="229" spans="1:5" x14ac:dyDescent="0.3">
      <c r="A229" s="23" t="s">
        <v>15</v>
      </c>
      <c r="B229" s="12" t="e">
        <f t="shared" si="16"/>
        <v>#N/A</v>
      </c>
      <c r="C229" s="27"/>
      <c r="D229" s="7">
        <f t="shared" si="17"/>
        <v>0</v>
      </c>
    </row>
    <row r="230" spans="1:5" x14ac:dyDescent="0.3">
      <c r="A230" s="23" t="s">
        <v>16</v>
      </c>
      <c r="B230" s="12" t="e">
        <f>IF(OR(B211="Rosen Center",B211="Lonoke Ag Center"),0,INDEX(Fixed_Rate_Optional,MATCH(A230,Expense_Item,0),MATCH(B212,Commodity_Item,0))*B215*B216)</f>
        <v>#N/A</v>
      </c>
      <c r="C230" s="27"/>
      <c r="D230" s="7">
        <f t="shared" si="17"/>
        <v>0</v>
      </c>
    </row>
    <row r="231" spans="1:5" x14ac:dyDescent="0.3">
      <c r="A231" s="28" t="s">
        <v>133</v>
      </c>
      <c r="B231" s="298"/>
      <c r="C231" s="299"/>
      <c r="D231" s="300"/>
    </row>
    <row r="232" spans="1:5" x14ac:dyDescent="0.3">
      <c r="A232" s="23" t="s">
        <v>134</v>
      </c>
      <c r="B232" s="12" t="e">
        <f t="shared" ref="B232:B237" si="18">IF(OR($B$211="Rosen Center",$B$211="Lonoke Ag Center"),0,INDEX(Fixed_Rate_Optional,MATCH(A232,Expense_Item,0),MATCH($B$212,Commodity_Item,0))*$B$213)</f>
        <v>#N/A</v>
      </c>
      <c r="C232" s="27"/>
      <c r="D232" s="7">
        <f t="shared" ref="D232:D237" si="19">IF(C232="Yes",B232,0)</f>
        <v>0</v>
      </c>
    </row>
    <row r="233" spans="1:5" x14ac:dyDescent="0.3">
      <c r="A233" s="23" t="s">
        <v>135</v>
      </c>
      <c r="B233" s="12" t="e">
        <f t="shared" si="18"/>
        <v>#N/A</v>
      </c>
      <c r="C233" s="27"/>
      <c r="D233" s="7">
        <f t="shared" si="19"/>
        <v>0</v>
      </c>
    </row>
    <row r="234" spans="1:5" x14ac:dyDescent="0.3">
      <c r="A234" s="23" t="s">
        <v>136</v>
      </c>
      <c r="B234" s="12" t="e">
        <f t="shared" si="18"/>
        <v>#N/A</v>
      </c>
      <c r="C234" s="27"/>
      <c r="D234" s="7">
        <f t="shared" si="19"/>
        <v>0</v>
      </c>
    </row>
    <row r="235" spans="1:5" x14ac:dyDescent="0.3">
      <c r="A235" s="23" t="s">
        <v>137</v>
      </c>
      <c r="B235" s="12" t="e">
        <f t="shared" si="18"/>
        <v>#N/A</v>
      </c>
      <c r="C235" s="27"/>
      <c r="D235" s="7">
        <f t="shared" si="19"/>
        <v>0</v>
      </c>
    </row>
    <row r="236" spans="1:5" x14ac:dyDescent="0.3">
      <c r="A236" s="23" t="s">
        <v>138</v>
      </c>
      <c r="B236" s="12" t="e">
        <f t="shared" si="18"/>
        <v>#N/A</v>
      </c>
      <c r="C236" s="27"/>
      <c r="D236" s="7">
        <f t="shared" si="19"/>
        <v>0</v>
      </c>
    </row>
    <row r="237" spans="1:5" x14ac:dyDescent="0.3">
      <c r="A237" s="23" t="s">
        <v>139</v>
      </c>
      <c r="B237" s="12" t="e">
        <f t="shared" si="18"/>
        <v>#N/A</v>
      </c>
      <c r="C237" s="27"/>
      <c r="D237" s="7">
        <f t="shared" si="19"/>
        <v>0</v>
      </c>
    </row>
    <row r="238" spans="1:5" x14ac:dyDescent="0.3">
      <c r="A238" s="28" t="str">
        <f>B211&amp;" Total"</f>
        <v xml:space="preserve"> Total</v>
      </c>
      <c r="B238" s="121"/>
      <c r="C238" s="20"/>
      <c r="D238" s="26" t="e">
        <f>SUM(D219,D221:D230,D232:D237)</f>
        <v>#N/A</v>
      </c>
    </row>
    <row r="239" spans="1:5" ht="15.75" customHeight="1" x14ac:dyDescent="0.3">
      <c r="A239" s="28" t="s">
        <v>460</v>
      </c>
      <c r="B239" s="29" t="s">
        <v>464</v>
      </c>
      <c r="C239" s="29" t="s">
        <v>466</v>
      </c>
      <c r="D239" s="29" t="s">
        <v>465</v>
      </c>
      <c r="E239" s="29" t="s">
        <v>111</v>
      </c>
    </row>
    <row r="240" spans="1:5" x14ac:dyDescent="0.3">
      <c r="A240" s="68" t="s">
        <v>457</v>
      </c>
      <c r="B240" s="132">
        <f>Greenhouse_Rate</f>
        <v>1</v>
      </c>
      <c r="C240" s="137">
        <f>IF(OR(B211="Lonoke Ag Center",B211="RIRE, Stuttgart",B211="Rosen Center"),E212,0)</f>
        <v>0</v>
      </c>
      <c r="D240" s="136">
        <f>IF(OR(B211="Lonoke Ag Center",B211="RIRE, Stuttgart",B211="Rosen Center"),F212,0)</f>
        <v>0</v>
      </c>
      <c r="E240" s="135">
        <f>C240*D240*B240</f>
        <v>0</v>
      </c>
    </row>
    <row r="241" spans="1:6" x14ac:dyDescent="0.3">
      <c r="A241" s="68" t="s">
        <v>458</v>
      </c>
      <c r="B241" s="132">
        <f>Growth_Chamber_Rate</f>
        <v>6.8</v>
      </c>
      <c r="C241" s="137">
        <f>IF(OR(B211="RIRE, Stuttgart",B211="Rosen Center"),E213,0)</f>
        <v>0</v>
      </c>
      <c r="D241" s="136">
        <f>IF(OR(B211="RIRE, Stuttgart",B211="Rosen Center"),F213,0)</f>
        <v>0</v>
      </c>
      <c r="E241" s="135">
        <f>C241*D241*B241</f>
        <v>0</v>
      </c>
    </row>
    <row r="242" spans="1:6" x14ac:dyDescent="0.3">
      <c r="A242" s="68" t="s">
        <v>459</v>
      </c>
      <c r="B242" s="132">
        <f>Quarantine_Rate</f>
        <v>1.1000000000000001</v>
      </c>
      <c r="C242" s="137">
        <f>IF(B211="Rosen Center",E214,0)</f>
        <v>0</v>
      </c>
      <c r="D242" s="136">
        <f>IF(B211="Rosen Center",F214,0)</f>
        <v>0</v>
      </c>
      <c r="E242" s="135">
        <f>C242*D242*B242</f>
        <v>0</v>
      </c>
    </row>
    <row r="243" spans="1:6" x14ac:dyDescent="0.3">
      <c r="A243" s="130" t="s">
        <v>111</v>
      </c>
      <c r="B243" s="144"/>
      <c r="C243" s="137">
        <f>SUM(C240:C242)</f>
        <v>0</v>
      </c>
      <c r="D243" s="136">
        <f>SUM(D240:D242)</f>
        <v>0</v>
      </c>
      <c r="E243" s="26">
        <f t="shared" ref="E243" si="20">SUM(E240:E242)</f>
        <v>0</v>
      </c>
    </row>
    <row r="244" spans="1:6" x14ac:dyDescent="0.3">
      <c r="A244" s="254" t="s">
        <v>229</v>
      </c>
      <c r="B244" s="255"/>
      <c r="C244" s="255"/>
      <c r="D244" s="255"/>
      <c r="E244" s="255"/>
      <c r="F244" s="255"/>
    </row>
    <row r="245" spans="1:6" x14ac:dyDescent="0.3">
      <c r="A245" s="68" t="s">
        <v>115</v>
      </c>
      <c r="B245" s="278"/>
      <c r="C245" s="278"/>
      <c r="D245" s="278"/>
      <c r="E245" s="278"/>
      <c r="F245" s="278"/>
    </row>
    <row r="246" spans="1:6" x14ac:dyDescent="0.3">
      <c r="A246" s="68" t="s">
        <v>116</v>
      </c>
      <c r="B246" s="289"/>
      <c r="C246" s="289"/>
      <c r="D246" s="289"/>
      <c r="E246" s="289"/>
      <c r="F246" s="289"/>
    </row>
    <row r="247" spans="1:6" x14ac:dyDescent="0.3">
      <c r="A247" s="68" t="s">
        <v>117</v>
      </c>
      <c r="B247" s="258"/>
      <c r="C247" s="258"/>
      <c r="D247" s="258"/>
      <c r="E247" s="258"/>
      <c r="F247" s="258"/>
    </row>
    <row r="248" spans="1:6" x14ac:dyDescent="0.3">
      <c r="A248" s="68" t="s">
        <v>228</v>
      </c>
      <c r="B248" s="258"/>
      <c r="C248" s="258"/>
      <c r="D248" s="258"/>
      <c r="E248" s="258"/>
      <c r="F248" s="258"/>
    </row>
    <row r="249" spans="1:6" x14ac:dyDescent="0.3">
      <c r="A249" s="68" t="s">
        <v>118</v>
      </c>
      <c r="B249" s="257"/>
      <c r="C249" s="258"/>
      <c r="D249" s="258"/>
      <c r="E249" s="258"/>
      <c r="F249" s="258"/>
    </row>
    <row r="250" spans="1:6" x14ac:dyDescent="0.3">
      <c r="A250" s="68" t="s">
        <v>126</v>
      </c>
      <c r="B250" s="277"/>
      <c r="C250" s="277"/>
      <c r="D250" s="277"/>
      <c r="E250" s="277"/>
      <c r="F250" s="277"/>
    </row>
    <row r="251" spans="1:6" x14ac:dyDescent="0.3">
      <c r="A251" s="68" t="s">
        <v>127</v>
      </c>
      <c r="B251" s="277"/>
      <c r="C251" s="277"/>
      <c r="D251" s="277"/>
      <c r="E251" s="277"/>
      <c r="F251" s="277"/>
    </row>
    <row r="252" spans="1:6" x14ac:dyDescent="0.3">
      <c r="A252" s="68" t="s">
        <v>119</v>
      </c>
      <c r="B252" s="277"/>
      <c r="C252" s="277"/>
      <c r="D252" s="277"/>
      <c r="E252" s="277"/>
      <c r="F252" s="277"/>
    </row>
    <row r="253" spans="1:6" x14ac:dyDescent="0.3">
      <c r="A253" s="290" t="s">
        <v>120</v>
      </c>
      <c r="B253" s="286"/>
      <c r="C253" s="287"/>
      <c r="D253" s="287"/>
      <c r="E253" s="287"/>
      <c r="F253" s="288"/>
    </row>
    <row r="254" spans="1:6" x14ac:dyDescent="0.3">
      <c r="A254" s="291"/>
      <c r="B254" s="240"/>
      <c r="C254" s="241"/>
      <c r="D254" s="241"/>
      <c r="E254" s="241"/>
      <c r="F254" s="242"/>
    </row>
    <row r="255" spans="1:6" x14ac:dyDescent="0.3">
      <c r="A255" s="291"/>
      <c r="B255" s="240"/>
      <c r="C255" s="241"/>
      <c r="D255" s="241"/>
      <c r="E255" s="241"/>
      <c r="F255" s="242"/>
    </row>
    <row r="256" spans="1:6" x14ac:dyDescent="0.3">
      <c r="A256" s="291"/>
      <c r="B256" s="240"/>
      <c r="C256" s="241"/>
      <c r="D256" s="241"/>
      <c r="E256" s="241"/>
      <c r="F256" s="242"/>
    </row>
    <row r="257" spans="1:6" x14ac:dyDescent="0.3">
      <c r="A257" s="291"/>
      <c r="B257" s="240"/>
      <c r="C257" s="241"/>
      <c r="D257" s="241"/>
      <c r="E257" s="241"/>
      <c r="F257" s="242"/>
    </row>
    <row r="258" spans="1:6" x14ac:dyDescent="0.3">
      <c r="A258" s="291"/>
      <c r="B258" s="240"/>
      <c r="C258" s="241"/>
      <c r="D258" s="241"/>
      <c r="E258" s="241"/>
      <c r="F258" s="242"/>
    </row>
    <row r="259" spans="1:6" x14ac:dyDescent="0.3">
      <c r="A259" s="291"/>
      <c r="B259" s="240"/>
      <c r="C259" s="241"/>
      <c r="D259" s="241"/>
      <c r="E259" s="241"/>
      <c r="F259" s="242"/>
    </row>
    <row r="260" spans="1:6" x14ac:dyDescent="0.3">
      <c r="A260" s="291"/>
      <c r="B260" s="240"/>
      <c r="C260" s="241"/>
      <c r="D260" s="241"/>
      <c r="E260" s="241"/>
      <c r="F260" s="242"/>
    </row>
    <row r="261" spans="1:6" x14ac:dyDescent="0.3">
      <c r="A261" s="292"/>
      <c r="B261" s="285"/>
      <c r="C261" s="285"/>
      <c r="D261" s="285"/>
      <c r="E261" s="285"/>
      <c r="F261" s="285"/>
    </row>
    <row r="262" spans="1:6" x14ac:dyDescent="0.3">
      <c r="A262" s="73" t="s">
        <v>121</v>
      </c>
      <c r="B262" s="249" t="s">
        <v>230</v>
      </c>
      <c r="C262" s="249"/>
      <c r="D262" s="18"/>
      <c r="E262" s="283"/>
      <c r="F262" s="284"/>
    </row>
    <row r="263" spans="1:6" x14ac:dyDescent="0.3">
      <c r="A263" s="68" t="s">
        <v>231</v>
      </c>
      <c r="B263" s="243"/>
      <c r="C263" s="244"/>
      <c r="D263" s="244"/>
      <c r="E263" s="244"/>
      <c r="F263" s="245"/>
    </row>
    <row r="264" spans="1:6" x14ac:dyDescent="0.3">
      <c r="A264" s="73" t="s">
        <v>122</v>
      </c>
      <c r="B264" s="249" t="s">
        <v>230</v>
      </c>
      <c r="C264" s="249"/>
      <c r="D264" s="18"/>
      <c r="E264" s="283"/>
      <c r="F264" s="284"/>
    </row>
    <row r="265" spans="1:6" x14ac:dyDescent="0.3">
      <c r="A265" s="75" t="s">
        <v>232</v>
      </c>
      <c r="B265" s="243"/>
      <c r="C265" s="244"/>
      <c r="D265" s="244"/>
      <c r="E265" s="244"/>
      <c r="F265" s="245"/>
    </row>
    <row r="266" spans="1:6" x14ac:dyDescent="0.3">
      <c r="A266" s="73" t="s">
        <v>123</v>
      </c>
      <c r="B266" s="249" t="s">
        <v>230</v>
      </c>
      <c r="C266" s="249"/>
      <c r="D266" s="18"/>
      <c r="E266" s="283"/>
      <c r="F266" s="284"/>
    </row>
    <row r="267" spans="1:6" x14ac:dyDescent="0.3">
      <c r="A267" s="75" t="s">
        <v>233</v>
      </c>
      <c r="B267" s="243"/>
      <c r="C267" s="244"/>
      <c r="D267" s="244"/>
      <c r="E267" s="244"/>
      <c r="F267" s="245"/>
    </row>
    <row r="268" spans="1:6" x14ac:dyDescent="0.3">
      <c r="A268" s="73" t="s">
        <v>124</v>
      </c>
      <c r="B268" s="249" t="s">
        <v>230</v>
      </c>
      <c r="C268" s="249"/>
      <c r="D268" s="18"/>
      <c r="E268" s="283"/>
      <c r="F268" s="284"/>
    </row>
    <row r="269" spans="1:6" x14ac:dyDescent="0.3">
      <c r="A269" s="75" t="s">
        <v>234</v>
      </c>
      <c r="B269" s="243"/>
      <c r="C269" s="244"/>
      <c r="D269" s="244"/>
      <c r="E269" s="244"/>
      <c r="F269" s="245"/>
    </row>
    <row r="270" spans="1:6" x14ac:dyDescent="0.3">
      <c r="A270" s="73" t="s">
        <v>125</v>
      </c>
      <c r="B270" s="76" t="s">
        <v>119</v>
      </c>
      <c r="C270" s="20" t="s">
        <v>128</v>
      </c>
      <c r="D270" s="246"/>
      <c r="E270" s="247"/>
      <c r="F270" s="248"/>
    </row>
    <row r="271" spans="1:6" x14ac:dyDescent="0.3">
      <c r="A271" s="75" t="s">
        <v>235</v>
      </c>
      <c r="B271" s="243"/>
      <c r="C271" s="244"/>
      <c r="D271" s="244"/>
      <c r="E271" s="244"/>
      <c r="F271" s="245"/>
    </row>
    <row r="272" spans="1:6" x14ac:dyDescent="0.3">
      <c r="A272" s="72" t="s">
        <v>129</v>
      </c>
      <c r="B272" s="279"/>
      <c r="C272" s="280"/>
      <c r="D272" s="280"/>
      <c r="E272" s="280"/>
      <c r="F272" s="281"/>
    </row>
    <row r="273" spans="1:6" x14ac:dyDescent="0.3">
      <c r="A273" s="72" t="s">
        <v>130</v>
      </c>
      <c r="B273" s="279"/>
      <c r="C273" s="280"/>
      <c r="D273" s="280"/>
      <c r="E273" s="280"/>
      <c r="F273" s="281"/>
    </row>
    <row r="274" spans="1:6" x14ac:dyDescent="0.3">
      <c r="A274" s="77" t="s">
        <v>131</v>
      </c>
      <c r="B274" s="279"/>
      <c r="C274" s="280"/>
      <c r="D274" s="280"/>
      <c r="E274" s="280"/>
      <c r="F274" s="281"/>
    </row>
    <row r="275" spans="1:6" ht="15.75" customHeight="1" x14ac:dyDescent="0.3"/>
    <row r="276" spans="1:6" x14ac:dyDescent="0.3">
      <c r="A276" s="79" t="s">
        <v>227</v>
      </c>
      <c r="B276" s="29" t="s">
        <v>223</v>
      </c>
      <c r="C276" s="29" t="s">
        <v>224</v>
      </c>
      <c r="D276" s="29" t="s">
        <v>225</v>
      </c>
      <c r="E276" s="29" t="s">
        <v>226</v>
      </c>
      <c r="F276" s="29" t="s">
        <v>111</v>
      </c>
    </row>
    <row r="277" spans="1:6" x14ac:dyDescent="0.3">
      <c r="A277" s="68" t="s">
        <v>169</v>
      </c>
      <c r="B277" s="7">
        <f>IF($B$7=A277,$D$34,0)</f>
        <v>0</v>
      </c>
      <c r="C277" s="7">
        <f>IF($B$75=A277,$D$102,0)</f>
        <v>0</v>
      </c>
      <c r="D277" s="7">
        <f>IF($B$143=A277,$D$170,0)</f>
        <v>0</v>
      </c>
      <c r="E277" s="7">
        <f>IF($B$211=A277,$D$238,0)</f>
        <v>0</v>
      </c>
      <c r="F277" s="7">
        <f t="shared" ref="F277:F287" si="21">SUM(B277:E277)</f>
        <v>0</v>
      </c>
    </row>
    <row r="278" spans="1:6" x14ac:dyDescent="0.3">
      <c r="A278" s="68" t="s">
        <v>170</v>
      </c>
      <c r="B278" s="7">
        <f>IF($B$7=A278,$D$34,0)</f>
        <v>0</v>
      </c>
      <c r="C278" s="7">
        <f>IF($B$75=A278,$D$102,0)</f>
        <v>0</v>
      </c>
      <c r="D278" s="7">
        <f>IF($B$143=A278,$D$170,0)</f>
        <v>0</v>
      </c>
      <c r="E278" s="7">
        <f>IF($B$211=A278,$D$238,0)</f>
        <v>0</v>
      </c>
      <c r="F278" s="7">
        <f t="shared" si="21"/>
        <v>0</v>
      </c>
    </row>
    <row r="279" spans="1:6" x14ac:dyDescent="0.3">
      <c r="A279" s="68" t="s">
        <v>171</v>
      </c>
      <c r="B279" s="7">
        <f>IF($B$7=A279,$D$34+$E$39,0)</f>
        <v>0</v>
      </c>
      <c r="C279" s="7">
        <f t="shared" ref="C279" si="22">IF($B$75=A279,$D$102+$E$107,0)</f>
        <v>0</v>
      </c>
      <c r="D279" s="7">
        <f t="shared" ref="D279" si="23">IF($B$143=A279,$D$170+$E$175,0)</f>
        <v>0</v>
      </c>
      <c r="E279" s="7">
        <f t="shared" ref="E279" si="24">IF($B$211=A279,$D$238+$E$243,0)</f>
        <v>0</v>
      </c>
      <c r="F279" s="7">
        <f t="shared" si="21"/>
        <v>0</v>
      </c>
    </row>
    <row r="280" spans="1:6" x14ac:dyDescent="0.3">
      <c r="A280" s="68" t="s">
        <v>172</v>
      </c>
      <c r="B280" s="7">
        <f>IF($B$7=A280,$D$34,0)</f>
        <v>0</v>
      </c>
      <c r="C280" s="7">
        <f>IF($B$75=A280,$D$102,0)</f>
        <v>0</v>
      </c>
      <c r="D280" s="7">
        <f>IF($B$143=A280,$D$170,0)</f>
        <v>0</v>
      </c>
      <c r="E280" s="7">
        <f>IF($B$211=A280,$D$238,0)</f>
        <v>0</v>
      </c>
      <c r="F280" s="7">
        <f t="shared" si="21"/>
        <v>0</v>
      </c>
    </row>
    <row r="281" spans="1:6" x14ac:dyDescent="0.3">
      <c r="A281" s="68" t="s">
        <v>173</v>
      </c>
      <c r="B281" s="7">
        <f>IF($B$7=A281,$D$34,0)</f>
        <v>0</v>
      </c>
      <c r="C281" s="7">
        <f>IF($B$75=A281,$D$102,0)</f>
        <v>0</v>
      </c>
      <c r="D281" s="7">
        <f>IF($B$143=A281,$D$170,0)</f>
        <v>0</v>
      </c>
      <c r="E281" s="7">
        <f>IF($B$211=A281,$D$238,0)</f>
        <v>0</v>
      </c>
      <c r="F281" s="7">
        <f t="shared" si="21"/>
        <v>0</v>
      </c>
    </row>
    <row r="282" spans="1:6" x14ac:dyDescent="0.3">
      <c r="A282" s="68" t="s">
        <v>174</v>
      </c>
      <c r="B282" s="7">
        <f>IF($B$7=A282,$D$34,0)</f>
        <v>0</v>
      </c>
      <c r="C282" s="7">
        <f>IF($B$75=A282,$D$102,0)</f>
        <v>0</v>
      </c>
      <c r="D282" s="7">
        <f>IF($B$143=A282,$D$170,0)</f>
        <v>0</v>
      </c>
      <c r="E282" s="7">
        <f>IF($B$211=A282,$D$238,0)</f>
        <v>0</v>
      </c>
      <c r="F282" s="7">
        <f t="shared" si="21"/>
        <v>0</v>
      </c>
    </row>
    <row r="283" spans="1:6" x14ac:dyDescent="0.3">
      <c r="A283" s="68" t="s">
        <v>175</v>
      </c>
      <c r="B283" s="7">
        <f>IF($B$7=A283,$D$34+$E$39,0)</f>
        <v>0</v>
      </c>
      <c r="C283" s="7">
        <f>IF($B$75=A283,$D$102+$E$107,0)</f>
        <v>0</v>
      </c>
      <c r="D283" s="7">
        <f>IF($B$143=A283,$D$170+$E$175,0)</f>
        <v>0</v>
      </c>
      <c r="E283" s="7">
        <f>IF($B$211=A283,$D$238+$E$243,0)</f>
        <v>0</v>
      </c>
      <c r="F283" s="7">
        <f t="shared" si="21"/>
        <v>0</v>
      </c>
    </row>
    <row r="284" spans="1:6" x14ac:dyDescent="0.3">
      <c r="A284" s="75" t="s">
        <v>447</v>
      </c>
      <c r="B284" s="7">
        <f t="shared" ref="B284" si="25">IF($B$7=A284,$D$34+$E$39,0)</f>
        <v>0</v>
      </c>
      <c r="C284" s="7">
        <f t="shared" ref="C284" si="26">IF($B$75=A284,$D$102+$E$107,0)</f>
        <v>0</v>
      </c>
      <c r="D284" s="7">
        <f t="shared" ref="D284" si="27">IF($B$143=A284,$D$170+$E$175,0)</f>
        <v>0</v>
      </c>
      <c r="E284" s="7">
        <f t="shared" ref="E284" si="28">IF($B$211=A284,$D$238+$E$243,0)</f>
        <v>0</v>
      </c>
      <c r="F284" s="7">
        <f t="shared" ref="F284" si="29">SUM(B284:E284)</f>
        <v>0</v>
      </c>
    </row>
    <row r="285" spans="1:6" x14ac:dyDescent="0.3">
      <c r="A285" s="68" t="s">
        <v>176</v>
      </c>
      <c r="B285" s="7">
        <f>IF($B$7=A285,$D$34,0)</f>
        <v>0</v>
      </c>
      <c r="C285" s="7">
        <f>IF($B$75=A285,$D$102,0)</f>
        <v>0</v>
      </c>
      <c r="D285" s="7">
        <f>IF($B$143=A285,$D$170,0)</f>
        <v>0</v>
      </c>
      <c r="E285" s="7">
        <f>IF($B$211=A285,$D$238,0)</f>
        <v>0</v>
      </c>
      <c r="F285" s="7">
        <f t="shared" si="21"/>
        <v>0</v>
      </c>
    </row>
    <row r="286" spans="1:6" x14ac:dyDescent="0.3">
      <c r="A286" s="68" t="s">
        <v>177</v>
      </c>
      <c r="B286" s="7">
        <f>IF($B$7=A286,$D$34,0)</f>
        <v>0</v>
      </c>
      <c r="C286" s="7">
        <f>IF($B$75=A286,$D$102,0)</f>
        <v>0</v>
      </c>
      <c r="D286" s="7">
        <f>IF($B$143=A286,$D$170,0)</f>
        <v>0</v>
      </c>
      <c r="E286" s="7">
        <f>IF($B$211=A286,$D$238,0)</f>
        <v>0</v>
      </c>
      <c r="F286" s="7">
        <f t="shared" si="21"/>
        <v>0</v>
      </c>
    </row>
    <row r="287" spans="1:6" x14ac:dyDescent="0.3">
      <c r="A287" s="69" t="s">
        <v>178</v>
      </c>
      <c r="B287" s="7">
        <f>IF($B$7=A287,$D$34,0)</f>
        <v>0</v>
      </c>
      <c r="C287" s="7">
        <f>IF($B$75=A287,$D$102,0)</f>
        <v>0</v>
      </c>
      <c r="D287" s="7">
        <f>IF($B$143=A287,$D$170,0)</f>
        <v>0</v>
      </c>
      <c r="E287" s="7">
        <f>IF($B$211=A287,$D$238,0)</f>
        <v>0</v>
      </c>
      <c r="F287" s="70">
        <f t="shared" si="21"/>
        <v>0</v>
      </c>
    </row>
    <row r="288" spans="1:6" x14ac:dyDescent="0.3">
      <c r="A288" s="141" t="s">
        <v>222</v>
      </c>
      <c r="B288" s="142">
        <f>SUM(B277:B287)</f>
        <v>0</v>
      </c>
      <c r="C288" s="142">
        <f>SUM(C277:C287)</f>
        <v>0</v>
      </c>
      <c r="D288" s="142">
        <f>SUM(D277:D287)</f>
        <v>0</v>
      </c>
      <c r="E288" s="142">
        <f>SUM(E277:E287)</f>
        <v>0</v>
      </c>
      <c r="F288" s="142">
        <f>SUM(F277:F287)</f>
        <v>0</v>
      </c>
    </row>
    <row r="289" spans="3:5" x14ac:dyDescent="0.3">
      <c r="C289" s="67"/>
      <c r="D289" s="67"/>
      <c r="E289" s="67"/>
    </row>
  </sheetData>
  <sheetProtection algorithmName="SHA-512" hashValue="oZmGb2zVCaswLwNAfGTCT+mhwOE93BjYRtTvYiWT3QTD5toelRnlugXtR0kFmwehQ+cfbVjLrToUZGmnfMf4cQ==" saltValue="c5VNKsJx1mvpGE1KYPgirg==" spinCount="100000" sheet="1" selectLockedCells="1"/>
  <mergeCells count="204">
    <mergeCell ref="B272:F272"/>
    <mergeCell ref="B273:F273"/>
    <mergeCell ref="B274:F274"/>
    <mergeCell ref="B267:F267"/>
    <mergeCell ref="B268:C268"/>
    <mergeCell ref="E268:F268"/>
    <mergeCell ref="B269:F269"/>
    <mergeCell ref="D270:F270"/>
    <mergeCell ref="B271:F271"/>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48:F248"/>
    <mergeCell ref="B249:F249"/>
    <mergeCell ref="B250:F250"/>
    <mergeCell ref="B251:F251"/>
    <mergeCell ref="B252:F252"/>
    <mergeCell ref="A253:A261"/>
    <mergeCell ref="B253:F253"/>
    <mergeCell ref="B254:F254"/>
    <mergeCell ref="B255:F255"/>
    <mergeCell ref="B256:F256"/>
    <mergeCell ref="A217:F217"/>
    <mergeCell ref="B231:D231"/>
    <mergeCell ref="A244:F244"/>
    <mergeCell ref="B245:F245"/>
    <mergeCell ref="B246:F246"/>
    <mergeCell ref="B247:F247"/>
    <mergeCell ref="B212:C212"/>
    <mergeCell ref="B213:C213"/>
    <mergeCell ref="B214:C214"/>
    <mergeCell ref="B215:C215"/>
    <mergeCell ref="D215:F216"/>
    <mergeCell ref="B216:C216"/>
    <mergeCell ref="A208:F208"/>
    <mergeCell ref="A209:C209"/>
    <mergeCell ref="D209:F209"/>
    <mergeCell ref="A210:C210"/>
    <mergeCell ref="D210:F210"/>
    <mergeCell ref="B211:C211"/>
    <mergeCell ref="B201:F201"/>
    <mergeCell ref="D202:F202"/>
    <mergeCell ref="B203:F203"/>
    <mergeCell ref="B204:F204"/>
    <mergeCell ref="B205:F205"/>
    <mergeCell ref="B206:F206"/>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B183:F183"/>
    <mergeCell ref="B184:F184"/>
    <mergeCell ref="A185:A193"/>
    <mergeCell ref="B185:F185"/>
    <mergeCell ref="B186:F186"/>
    <mergeCell ref="B187:F187"/>
    <mergeCell ref="B188:F188"/>
    <mergeCell ref="B189:F189"/>
    <mergeCell ref="B190:F190"/>
    <mergeCell ref="B191:F191"/>
    <mergeCell ref="B177:F177"/>
    <mergeCell ref="B178:F178"/>
    <mergeCell ref="B179:F179"/>
    <mergeCell ref="B180:F180"/>
    <mergeCell ref="B181:F181"/>
    <mergeCell ref="B182:F182"/>
    <mergeCell ref="B147:C147"/>
    <mergeCell ref="D147:F148"/>
    <mergeCell ref="B148:C148"/>
    <mergeCell ref="A149:F149"/>
    <mergeCell ref="B163:D163"/>
    <mergeCell ref="A176:F176"/>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33:F133"/>
    <mergeCell ref="D134:F134"/>
    <mergeCell ref="B135:F135"/>
    <mergeCell ref="B127:F127"/>
    <mergeCell ref="B128:C128"/>
    <mergeCell ref="E128:F128"/>
    <mergeCell ref="B129:F129"/>
    <mergeCell ref="B130:C130"/>
    <mergeCell ref="E130:F130"/>
    <mergeCell ref="B126:C126"/>
    <mergeCell ref="E126:F126"/>
    <mergeCell ref="B112:F112"/>
    <mergeCell ref="B113:F113"/>
    <mergeCell ref="B114:F114"/>
    <mergeCell ref="B115:F115"/>
    <mergeCell ref="B116:F116"/>
    <mergeCell ref="B131:F131"/>
    <mergeCell ref="B132:C132"/>
    <mergeCell ref="E132:F132"/>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76:C76"/>
    <mergeCell ref="B77:C77"/>
    <mergeCell ref="B78:C78"/>
    <mergeCell ref="B79:C79"/>
    <mergeCell ref="D79:F80"/>
    <mergeCell ref="B80:C80"/>
    <mergeCell ref="A72:F72"/>
    <mergeCell ref="A73:C73"/>
    <mergeCell ref="D73:F73"/>
    <mergeCell ref="A74:C74"/>
    <mergeCell ref="D74:F74"/>
    <mergeCell ref="B75:C75"/>
    <mergeCell ref="B67:F67"/>
    <mergeCell ref="B68:F68"/>
    <mergeCell ref="B69:F69"/>
    <mergeCell ref="B70:F70"/>
    <mergeCell ref="B61:F61"/>
    <mergeCell ref="B62:C62"/>
    <mergeCell ref="E62:F62"/>
    <mergeCell ref="B63:F63"/>
    <mergeCell ref="B64:C64"/>
    <mergeCell ref="E64:F64"/>
    <mergeCell ref="B58:C58"/>
    <mergeCell ref="E58:F58"/>
    <mergeCell ref="B59:F59"/>
    <mergeCell ref="B60:C60"/>
    <mergeCell ref="E60:F60"/>
    <mergeCell ref="B47:F47"/>
    <mergeCell ref="B48:F48"/>
    <mergeCell ref="B65:F65"/>
    <mergeCell ref="D66:F66"/>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A13:F13"/>
    <mergeCell ref="B16:D16"/>
    <mergeCell ref="B27:D27"/>
    <mergeCell ref="A40:F40"/>
    <mergeCell ref="B7:C7"/>
    <mergeCell ref="B8:C8"/>
    <mergeCell ref="B9:C9"/>
    <mergeCell ref="B10:C10"/>
    <mergeCell ref="B11:C11"/>
    <mergeCell ref="D11:F12"/>
    <mergeCell ref="B1:F1"/>
    <mergeCell ref="B2:F2"/>
    <mergeCell ref="B3:F3"/>
    <mergeCell ref="B4:F4"/>
    <mergeCell ref="A5:C5"/>
    <mergeCell ref="A6:C6"/>
    <mergeCell ref="B12:C12"/>
    <mergeCell ref="D5:F5"/>
    <mergeCell ref="D6:F6"/>
  </mergeCells>
  <dataValidations count="11">
    <dataValidation type="whole" operator="greaterThanOrEqual" allowBlank="1" showInputMessage="1" showErrorMessage="1" error="Number of acres must be numeric, greater than zero, and a whole number or blank" prompt="Enter the number of acres" sqref="B213 B9:C9 B77:C77 B145:C145">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formula1>0</formula1>
    </dataValidation>
    <dataValidation type="whole" operator="greaterThanOrEqual" allowBlank="1" showInputMessage="1" showErrorMessage="1" error="The number of plots must be a whole number greater than or equal to zero " prompt="Enter the total number of plots " sqref="B10 B78 B146 B214">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formula1>"Yes, No"</formula1>
    </dataValidation>
    <dataValidation type="list" allowBlank="1" showInputMessage="1" showErrorMessage="1" error="Select a harvest method from the list" prompt="Select the harvest method from the list" sqref="B66 B134 B202 B270">
      <formula1>"Combine,Hand,Other"</formula1>
    </dataValidation>
    <dataValidation type="list" showInputMessage="1" showErrorMessage="1" error="Select a research station from the list" prompt="Select a research station" sqref="B143 B211:C211 B75:C75 B7">
      <formula1>Stations</formula1>
    </dataValidation>
    <dataValidation type="list" showInputMessage="1" showErrorMessage="1" error="A commodity must be selected from the list." prompt="Select a crop from the list" sqref="B8:C8 B144:C144 B212:C212 B76:C76">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or RIRE Stuttgard or an error message will display." sqref="E8:E10 E76:E78 E144:E146 E212:E214">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or RIRE Stuttgard or an error message will display." sqref="F8:F10 F76:F78 F144:F146 F212:F214">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3.0&amp;CPage &amp;P of &amp;N&amp;R2020/2021</oddFooter>
  </headerFooter>
  <rowBreaks count="8" manualBreakCount="8">
    <brk id="39" max="5" man="1"/>
    <brk id="71" max="5" man="1"/>
    <brk id="107" max="5" man="1"/>
    <brk id="139" max="5" man="1"/>
    <brk id="175" max="5" man="1"/>
    <brk id="207" max="5" man="1"/>
    <brk id="243" max="5" man="1"/>
    <brk id="274"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N289"/>
  <sheetViews>
    <sheetView showGridLines="0" zoomScaleNormal="100" workbookViewId="0">
      <selection activeCell="B7" sqref="B7:C7"/>
    </sheetView>
  </sheetViews>
  <sheetFormatPr defaultColWidth="9" defaultRowHeight="15.6" x14ac:dyDescent="0.3"/>
  <cols>
    <col min="1" max="1" width="30.8984375" style="34" customWidth="1"/>
    <col min="2" max="3" width="13.59765625" style="34" customWidth="1"/>
    <col min="4" max="4" width="15.59765625" style="34" customWidth="1"/>
    <col min="5" max="6" width="13.59765625" style="34" customWidth="1"/>
    <col min="7" max="7" width="10.59765625" style="34" customWidth="1"/>
    <col min="8" max="8" width="9.3984375" style="34" customWidth="1"/>
    <col min="9" max="16384" width="9" style="34"/>
  </cols>
  <sheetData>
    <row r="1" spans="1:14" s="16" customFormat="1" ht="20.100000000000001" customHeight="1" x14ac:dyDescent="0.3">
      <c r="A1" s="143">
        <f>Lead_Project_Investigator</f>
        <v>0</v>
      </c>
      <c r="B1" s="239">
        <f>Project_Title</f>
        <v>0</v>
      </c>
      <c r="C1" s="239"/>
      <c r="D1" s="239"/>
      <c r="E1" s="239"/>
      <c r="F1" s="239"/>
      <c r="G1" s="125"/>
      <c r="H1" s="125"/>
      <c r="I1" s="125"/>
      <c r="J1" s="125"/>
    </row>
    <row r="2" spans="1:14" ht="20.100000000000001" customHeight="1" x14ac:dyDescent="0.3">
      <c r="A2" s="167"/>
      <c r="B2" s="305" t="s">
        <v>217</v>
      </c>
      <c r="C2" s="306"/>
      <c r="D2" s="306"/>
      <c r="E2" s="306"/>
      <c r="F2" s="307"/>
    </row>
    <row r="3" spans="1:14" ht="20.100000000000001" customHeight="1" x14ac:dyDescent="0.3">
      <c r="A3" s="161" t="s">
        <v>206</v>
      </c>
      <c r="B3" s="315">
        <f>'Promotion Board Budget'!E4</f>
        <v>0</v>
      </c>
      <c r="C3" s="316"/>
      <c r="D3" s="316"/>
      <c r="E3" s="316"/>
      <c r="F3" s="317"/>
      <c r="G3" s="160"/>
    </row>
    <row r="4" spans="1:14" ht="20.100000000000001" customHeight="1" x14ac:dyDescent="0.3">
      <c r="A4" s="167"/>
      <c r="B4" s="269" t="s">
        <v>210</v>
      </c>
      <c r="C4" s="270"/>
      <c r="D4" s="270"/>
      <c r="E4" s="270"/>
      <c r="F4" s="271"/>
    </row>
    <row r="5" spans="1:14" ht="56.1" customHeight="1" x14ac:dyDescent="0.3">
      <c r="A5" s="312"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18"/>
      <c r="C5" s="319"/>
      <c r="D5" s="32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5" s="324"/>
      <c r="F5" s="325"/>
    </row>
    <row r="6" spans="1:14" x14ac:dyDescent="0.3">
      <c r="A6" s="261" t="s">
        <v>208</v>
      </c>
      <c r="B6" s="261"/>
      <c r="C6" s="261"/>
      <c r="D6" s="254" t="s">
        <v>456</v>
      </c>
      <c r="E6" s="255"/>
      <c r="F6" s="256"/>
    </row>
    <row r="7" spans="1:14" ht="15.75" customHeight="1" x14ac:dyDescent="0.3">
      <c r="A7" s="58" t="s">
        <v>182</v>
      </c>
      <c r="B7" s="223"/>
      <c r="C7" s="262"/>
      <c r="D7" s="73" t="s">
        <v>455</v>
      </c>
      <c r="E7" s="73" t="s">
        <v>451</v>
      </c>
      <c r="F7" s="73" t="s">
        <v>452</v>
      </c>
    </row>
    <row r="8" spans="1:14" x14ac:dyDescent="0.3">
      <c r="A8" s="58" t="s">
        <v>201</v>
      </c>
      <c r="B8" s="222"/>
      <c r="C8" s="222"/>
      <c r="D8" s="73" t="s">
        <v>448</v>
      </c>
      <c r="E8" s="156"/>
      <c r="F8" s="157"/>
      <c r="G8" s="113" t="str">
        <f>IF(AND(E8+F8&gt;0,B7&lt;&gt;"RIRE, Stuttgart",B7&lt;&gt;"Rosen Center",B7&lt;&gt;"Lonoke Ag Center"),"* Error - facility not available at selected Research Station","")</f>
        <v/>
      </c>
    </row>
    <row r="9" spans="1:14" s="1" customFormat="1" x14ac:dyDescent="0.3">
      <c r="A9" s="58" t="s">
        <v>183</v>
      </c>
      <c r="B9" s="260"/>
      <c r="C9" s="260"/>
      <c r="D9" s="73" t="s">
        <v>449</v>
      </c>
      <c r="E9" s="156"/>
      <c r="F9" s="158"/>
      <c r="G9" s="113" t="str">
        <f>IF(AND(E9+F9&gt;0,B7&lt;&gt;"Rosen Center",B7&lt;&gt;"RIRE, Stuttgart"),"* Error - facility not available at selected Research Station","")</f>
        <v/>
      </c>
      <c r="H9" s="34"/>
      <c r="I9" s="34"/>
      <c r="J9" s="34"/>
      <c r="K9" s="34"/>
      <c r="L9" s="34"/>
      <c r="M9" s="34"/>
    </row>
    <row r="10" spans="1:14" s="1" customFormat="1" x14ac:dyDescent="0.3">
      <c r="A10" s="58" t="s">
        <v>184</v>
      </c>
      <c r="B10" s="260"/>
      <c r="C10" s="260"/>
      <c r="D10" s="73" t="s">
        <v>450</v>
      </c>
      <c r="E10" s="156"/>
      <c r="F10" s="158"/>
      <c r="G10" s="113" t="str">
        <f>IF(AND(E10+F10&gt;0,B7&lt;&gt;"Rosen Center"),"* Error - facility not available at selected Research Station","")</f>
        <v/>
      </c>
      <c r="H10" s="34"/>
      <c r="I10" s="34"/>
      <c r="J10" s="34"/>
      <c r="K10" s="34"/>
      <c r="L10" s="34"/>
      <c r="M10" s="34"/>
    </row>
    <row r="11" spans="1:14" s="1" customFormat="1" ht="15.75" customHeight="1" x14ac:dyDescent="0.3">
      <c r="A11" s="58" t="s">
        <v>185</v>
      </c>
      <c r="B11" s="260"/>
      <c r="C11" s="260"/>
      <c r="D11" s="263" t="str">
        <f>IF(OR(G8="* Error - facility not available at selected Research Station",G9="* Error - facility not available at selected Research Station",G10="* Error - facility not available at selected Research Station"),"See error message(s)","")</f>
        <v/>
      </c>
      <c r="E11" s="264"/>
      <c r="F11" s="265"/>
      <c r="G11" s="34"/>
      <c r="H11" s="34"/>
      <c r="I11" s="34"/>
      <c r="J11" s="34"/>
      <c r="K11" s="34"/>
      <c r="L11" s="34"/>
      <c r="M11" s="34"/>
    </row>
    <row r="12" spans="1:14" s="1" customFormat="1" ht="15.75" customHeight="1" x14ac:dyDescent="0.3">
      <c r="A12" s="58" t="s">
        <v>186</v>
      </c>
      <c r="B12" s="260"/>
      <c r="C12" s="260"/>
      <c r="D12" s="266"/>
      <c r="E12" s="267"/>
      <c r="F12" s="268"/>
      <c r="H12" s="34"/>
      <c r="I12" s="34"/>
      <c r="J12" s="34"/>
      <c r="K12" s="34"/>
      <c r="L12" s="34"/>
      <c r="M12" s="34"/>
    </row>
    <row r="13" spans="1:14" s="1" customFormat="1" ht="75.75" customHeight="1" x14ac:dyDescent="0.45">
      <c r="A13" s="259" t="s">
        <v>335</v>
      </c>
      <c r="B13" s="259"/>
      <c r="C13" s="259"/>
      <c r="D13" s="259"/>
      <c r="E13" s="259"/>
      <c r="F13" s="259"/>
      <c r="G13" s="34"/>
      <c r="H13" s="34"/>
      <c r="I13" s="34"/>
      <c r="J13" s="34"/>
      <c r="K13" s="34"/>
      <c r="L13" s="34"/>
      <c r="M13" s="34"/>
      <c r="N13" s="59"/>
    </row>
    <row r="14" spans="1:14" ht="31.2" x14ac:dyDescent="0.3">
      <c r="A14" s="61" t="s">
        <v>11</v>
      </c>
      <c r="B14" s="61" t="s">
        <v>114</v>
      </c>
      <c r="C14" s="93" t="s">
        <v>141</v>
      </c>
      <c r="D14" s="61" t="s">
        <v>132</v>
      </c>
      <c r="N14" s="60"/>
    </row>
    <row r="15" spans="1:14" x14ac:dyDescent="0.3">
      <c r="A15" s="62" t="s">
        <v>113</v>
      </c>
      <c r="B15" s="63" t="e">
        <f>IF(OR(B7="Rosen Center",B7="Lonoke Ag Center"),0,IF(B7&lt;&gt;"RIRE, Stuttgart",HLOOKUP(B8,Fixed_Rate_Optional,2,FALSE)*B9,100*B9))</f>
        <v>#N/A</v>
      </c>
      <c r="C15" s="64" t="s">
        <v>112</v>
      </c>
      <c r="D15" s="118" t="e">
        <f t="shared" ref="D15:D33" si="0">IF(C15="Yes",B15,0)</f>
        <v>#N/A</v>
      </c>
    </row>
    <row r="16" spans="1:14" x14ac:dyDescent="0.3">
      <c r="A16" s="28" t="s">
        <v>140</v>
      </c>
      <c r="B16" s="308"/>
      <c r="C16" s="309"/>
      <c r="D16" s="310"/>
      <c r="F16" s="146"/>
    </row>
    <row r="17" spans="1:6" x14ac:dyDescent="0.3">
      <c r="A17" s="62" t="s">
        <v>5</v>
      </c>
      <c r="B17" s="65" t="e">
        <f t="shared" ref="B17:B25" si="1">IF(OR($B$7="Rosen Center",$B$7="Lonoke Ag Center"),0,INDEX(Fixed_Rate_Optional,MATCH(A17,Expense_Item,0),MATCH($B$8,Commodity_Item,0))*$B$9)</f>
        <v>#N/A</v>
      </c>
      <c r="C17" s="66"/>
      <c r="D17" s="63">
        <f t="shared" si="0"/>
        <v>0</v>
      </c>
      <c r="F17" s="146"/>
    </row>
    <row r="18" spans="1:6" x14ac:dyDescent="0.3">
      <c r="A18" s="62" t="s">
        <v>6</v>
      </c>
      <c r="B18" s="65" t="e">
        <f t="shared" si="1"/>
        <v>#N/A</v>
      </c>
      <c r="C18" s="66"/>
      <c r="D18" s="63">
        <f t="shared" si="0"/>
        <v>0</v>
      </c>
    </row>
    <row r="19" spans="1:6" x14ac:dyDescent="0.3">
      <c r="A19" s="62" t="s">
        <v>7</v>
      </c>
      <c r="B19" s="65" t="e">
        <f t="shared" si="1"/>
        <v>#N/A</v>
      </c>
      <c r="C19" s="66"/>
      <c r="D19" s="63">
        <f t="shared" si="0"/>
        <v>0</v>
      </c>
    </row>
    <row r="20" spans="1:6" x14ac:dyDescent="0.3">
      <c r="A20" s="62" t="s">
        <v>8</v>
      </c>
      <c r="B20" s="65" t="e">
        <f t="shared" si="1"/>
        <v>#N/A</v>
      </c>
      <c r="C20" s="66"/>
      <c r="D20" s="63">
        <f t="shared" si="0"/>
        <v>0</v>
      </c>
    </row>
    <row r="21" spans="1:6" x14ac:dyDescent="0.3">
      <c r="A21" s="62" t="s">
        <v>9</v>
      </c>
      <c r="B21" s="65" t="e">
        <f t="shared" si="1"/>
        <v>#N/A</v>
      </c>
      <c r="C21" s="66"/>
      <c r="D21" s="63">
        <f t="shared" si="0"/>
        <v>0</v>
      </c>
    </row>
    <row r="22" spans="1:6" x14ac:dyDescent="0.3">
      <c r="A22" s="62" t="s">
        <v>10</v>
      </c>
      <c r="B22" s="65" t="e">
        <f t="shared" si="1"/>
        <v>#N/A</v>
      </c>
      <c r="C22" s="66"/>
      <c r="D22" s="63">
        <f t="shared" si="0"/>
        <v>0</v>
      </c>
    </row>
    <row r="23" spans="1:6" x14ac:dyDescent="0.3">
      <c r="A23" s="62" t="s">
        <v>13</v>
      </c>
      <c r="B23" s="65" t="e">
        <f t="shared" si="1"/>
        <v>#N/A</v>
      </c>
      <c r="C23" s="66"/>
      <c r="D23" s="63">
        <f t="shared" si="0"/>
        <v>0</v>
      </c>
    </row>
    <row r="24" spans="1:6" x14ac:dyDescent="0.3">
      <c r="A24" s="62" t="s">
        <v>14</v>
      </c>
      <c r="B24" s="65" t="e">
        <f t="shared" si="1"/>
        <v>#N/A</v>
      </c>
      <c r="C24" s="66"/>
      <c r="D24" s="63">
        <f t="shared" si="0"/>
        <v>0</v>
      </c>
    </row>
    <row r="25" spans="1:6" x14ac:dyDescent="0.3">
      <c r="A25" s="62" t="s">
        <v>15</v>
      </c>
      <c r="B25" s="65" t="e">
        <f t="shared" si="1"/>
        <v>#N/A</v>
      </c>
      <c r="C25" s="66"/>
      <c r="D25" s="63">
        <f t="shared" si="0"/>
        <v>0</v>
      </c>
    </row>
    <row r="26" spans="1:6" x14ac:dyDescent="0.3">
      <c r="A26" s="62" t="s">
        <v>16</v>
      </c>
      <c r="B26" s="12" t="e">
        <f>IF(OR(B7="Rosen Center",B7="Lonoke Ag Center"),0,INDEX(Fixed_Rate_Optional,MATCH(A26,Expense_Item,0),MATCH(B8,Commodity_Item,0))*B11*B12)</f>
        <v>#N/A</v>
      </c>
      <c r="C26" s="66"/>
      <c r="D26" s="63">
        <f t="shared" si="0"/>
        <v>0</v>
      </c>
    </row>
    <row r="27" spans="1:6" x14ac:dyDescent="0.3">
      <c r="A27" s="28" t="s">
        <v>133</v>
      </c>
      <c r="B27" s="308"/>
      <c r="C27" s="309"/>
      <c r="D27" s="310"/>
    </row>
    <row r="28" spans="1:6" x14ac:dyDescent="0.3">
      <c r="A28" s="62" t="s">
        <v>134</v>
      </c>
      <c r="B28" s="65" t="e">
        <f t="shared" ref="B28:B33" si="2">IF(OR($B$7="Rosen Center",$B$7="Lonoke Ag Center"),0,INDEX(Fixed_Rate_Optional,MATCH(A28,Expense_Item,0),MATCH($B$8,Commodity_Item,0))*$B$9)</f>
        <v>#N/A</v>
      </c>
      <c r="C28" s="66"/>
      <c r="D28" s="63">
        <f t="shared" si="0"/>
        <v>0</v>
      </c>
    </row>
    <row r="29" spans="1:6" x14ac:dyDescent="0.3">
      <c r="A29" s="62" t="s">
        <v>135</v>
      </c>
      <c r="B29" s="65" t="e">
        <f t="shared" si="2"/>
        <v>#N/A</v>
      </c>
      <c r="C29" s="66"/>
      <c r="D29" s="63">
        <f t="shared" si="0"/>
        <v>0</v>
      </c>
    </row>
    <row r="30" spans="1:6" x14ac:dyDescent="0.3">
      <c r="A30" s="62" t="s">
        <v>136</v>
      </c>
      <c r="B30" s="65" t="e">
        <f t="shared" si="2"/>
        <v>#N/A</v>
      </c>
      <c r="C30" s="66"/>
      <c r="D30" s="63">
        <f t="shared" si="0"/>
        <v>0</v>
      </c>
    </row>
    <row r="31" spans="1:6" x14ac:dyDescent="0.3">
      <c r="A31" s="62" t="s">
        <v>137</v>
      </c>
      <c r="B31" s="65" t="e">
        <f t="shared" si="2"/>
        <v>#N/A</v>
      </c>
      <c r="C31" s="66"/>
      <c r="D31" s="63">
        <f t="shared" si="0"/>
        <v>0</v>
      </c>
    </row>
    <row r="32" spans="1:6" x14ac:dyDescent="0.3">
      <c r="A32" s="62" t="s">
        <v>138</v>
      </c>
      <c r="B32" s="65" t="e">
        <f t="shared" si="2"/>
        <v>#N/A</v>
      </c>
      <c r="C32" s="66"/>
      <c r="D32" s="63">
        <f t="shared" si="0"/>
        <v>0</v>
      </c>
    </row>
    <row r="33" spans="1:13" x14ac:dyDescent="0.3">
      <c r="A33" s="62" t="s">
        <v>139</v>
      </c>
      <c r="B33" s="65" t="e">
        <f t="shared" si="2"/>
        <v>#N/A</v>
      </c>
      <c r="C33" s="66"/>
      <c r="D33" s="63">
        <f t="shared" si="0"/>
        <v>0</v>
      </c>
    </row>
    <row r="34" spans="1:13" s="21" customFormat="1" ht="15.75" customHeight="1" x14ac:dyDescent="0.3">
      <c r="A34" s="28" t="s">
        <v>111</v>
      </c>
      <c r="B34" s="121"/>
      <c r="C34" s="78"/>
      <c r="D34" s="92" t="e">
        <f>SUM(D15,D17:D26,D28:D33)</f>
        <v>#N/A</v>
      </c>
      <c r="E34" s="34"/>
      <c r="G34" s="34"/>
      <c r="H34" s="34"/>
      <c r="I34" s="34"/>
      <c r="J34" s="34"/>
      <c r="K34" s="34"/>
      <c r="L34" s="34"/>
      <c r="M34" s="34"/>
    </row>
    <row r="35" spans="1:13" s="21" customFormat="1" ht="15.75" customHeight="1" x14ac:dyDescent="0.3">
      <c r="A35" s="28" t="s">
        <v>460</v>
      </c>
      <c r="B35" s="29" t="s">
        <v>464</v>
      </c>
      <c r="C35" s="29" t="s">
        <v>466</v>
      </c>
      <c r="D35" s="29" t="s">
        <v>465</v>
      </c>
      <c r="E35" s="29" t="s">
        <v>111</v>
      </c>
      <c r="F35" s="34"/>
      <c r="G35" s="34"/>
      <c r="H35" s="34"/>
      <c r="I35" s="34"/>
      <c r="J35" s="34"/>
      <c r="K35" s="34"/>
      <c r="L35" s="34"/>
    </row>
    <row r="36" spans="1:13" s="21" customFormat="1" ht="15.75" customHeight="1" x14ac:dyDescent="0.3">
      <c r="A36" s="68" t="s">
        <v>457</v>
      </c>
      <c r="B36" s="132">
        <f>Greenhouse_Rate</f>
        <v>1</v>
      </c>
      <c r="C36" s="137">
        <f>IF(OR(B7="Lonoke Ag Center",B7="RIRE, Stuttgart",B7="Rosen Center"),E8,0)</f>
        <v>0</v>
      </c>
      <c r="D36" s="136">
        <f>IF(OR(B7="Lonoke Ag Center",B7="RIRE, Stuttgart",B7="Rosen Center"),F8,0)</f>
        <v>0</v>
      </c>
      <c r="E36" s="135">
        <f>C36*D36*B36</f>
        <v>0</v>
      </c>
      <c r="F36" s="34"/>
      <c r="G36" s="34"/>
      <c r="H36" s="34"/>
      <c r="I36" s="34"/>
      <c r="J36" s="34"/>
      <c r="K36" s="34"/>
      <c r="L36" s="34"/>
    </row>
    <row r="37" spans="1:13" s="21" customFormat="1" ht="15.75" customHeight="1" x14ac:dyDescent="0.3">
      <c r="A37" s="68" t="s">
        <v>458</v>
      </c>
      <c r="B37" s="132">
        <f>Growth_Chamber_Rate</f>
        <v>6.8</v>
      </c>
      <c r="C37" s="137">
        <f>IF(OR(B7="RIRE, Stuttgart",B7="Rosen Center"),E9,0)</f>
        <v>0</v>
      </c>
      <c r="D37" s="136">
        <f>IF(OR(B7="RIRE, Stuttgart",B7="Rosen Center"),F9,0)</f>
        <v>0</v>
      </c>
      <c r="E37" s="135">
        <f>C37*D37*B37</f>
        <v>0</v>
      </c>
      <c r="F37" s="34"/>
      <c r="G37" s="34"/>
      <c r="H37" s="34"/>
      <c r="I37" s="34"/>
      <c r="J37" s="34"/>
      <c r="K37" s="34"/>
      <c r="L37" s="34"/>
    </row>
    <row r="38" spans="1:13" s="21" customFormat="1" ht="15.75" customHeight="1" x14ac:dyDescent="0.3">
      <c r="A38" s="68" t="s">
        <v>459</v>
      </c>
      <c r="B38" s="132">
        <f>Quarantine_Rate</f>
        <v>1.1000000000000001</v>
      </c>
      <c r="C38" s="137">
        <f>IF(B7="Rosen Center",E10,0)</f>
        <v>0</v>
      </c>
      <c r="D38" s="136">
        <f>IF(B7="Rosen Center",F10,0)</f>
        <v>0</v>
      </c>
      <c r="E38" s="135">
        <f>C38*D38*B38</f>
        <v>0</v>
      </c>
      <c r="F38" s="34"/>
      <c r="G38" s="34"/>
      <c r="H38" s="34"/>
      <c r="I38" s="34"/>
      <c r="J38" s="34"/>
      <c r="K38" s="34"/>
      <c r="L38" s="34"/>
    </row>
    <row r="39" spans="1:13" s="21" customFormat="1" ht="15.75" customHeight="1" x14ac:dyDescent="0.3">
      <c r="A39" s="130" t="s">
        <v>111</v>
      </c>
      <c r="B39" s="144"/>
      <c r="C39" s="137">
        <f>SUM(C36:C38)</f>
        <v>0</v>
      </c>
      <c r="D39" s="136">
        <f>SUM(D36:D38)</f>
        <v>0</v>
      </c>
      <c r="E39" s="147">
        <f>SUM(E36:E38)</f>
        <v>0</v>
      </c>
      <c r="F39" s="34"/>
      <c r="G39" s="34"/>
      <c r="H39" s="34"/>
      <c r="I39" s="34"/>
      <c r="J39" s="34"/>
      <c r="K39" s="34"/>
      <c r="L39" s="34"/>
    </row>
    <row r="40" spans="1:13" s="21" customFormat="1" ht="15.75" customHeight="1" x14ac:dyDescent="0.3">
      <c r="A40" s="254" t="s">
        <v>229</v>
      </c>
      <c r="B40" s="255"/>
      <c r="C40" s="255"/>
      <c r="D40" s="255"/>
      <c r="E40" s="255"/>
      <c r="F40" s="256"/>
      <c r="G40" s="34"/>
      <c r="H40" s="34"/>
      <c r="I40" s="34"/>
      <c r="J40" s="34"/>
      <c r="K40" s="34"/>
      <c r="L40" s="34"/>
      <c r="M40" s="34"/>
    </row>
    <row r="41" spans="1:13" s="21" customFormat="1" x14ac:dyDescent="0.3">
      <c r="A41" s="68" t="s">
        <v>115</v>
      </c>
      <c r="B41" s="278"/>
      <c r="C41" s="278"/>
      <c r="D41" s="278"/>
      <c r="E41" s="278"/>
      <c r="F41" s="278"/>
      <c r="G41" s="34"/>
      <c r="H41" s="34"/>
      <c r="I41" s="34"/>
      <c r="J41" s="34"/>
      <c r="K41" s="34"/>
      <c r="L41" s="34"/>
      <c r="M41" s="34"/>
    </row>
    <row r="42" spans="1:13" s="21" customFormat="1" x14ac:dyDescent="0.3">
      <c r="A42" s="68" t="s">
        <v>116</v>
      </c>
      <c r="B42" s="311"/>
      <c r="C42" s="289"/>
      <c r="D42" s="289"/>
      <c r="E42" s="289"/>
      <c r="F42" s="289"/>
      <c r="G42" s="34"/>
      <c r="H42" s="34"/>
      <c r="I42" s="34"/>
      <c r="J42" s="34"/>
      <c r="K42" s="34"/>
      <c r="L42" s="34"/>
      <c r="M42" s="34"/>
    </row>
    <row r="43" spans="1:13" s="21" customFormat="1" x14ac:dyDescent="0.3">
      <c r="A43" s="68" t="s">
        <v>117</v>
      </c>
      <c r="B43" s="257"/>
      <c r="C43" s="258"/>
      <c r="D43" s="258"/>
      <c r="E43" s="258"/>
      <c r="F43" s="258"/>
      <c r="G43" s="34"/>
      <c r="H43" s="34"/>
      <c r="I43" s="34"/>
      <c r="J43" s="34"/>
      <c r="K43" s="34"/>
      <c r="L43" s="34"/>
      <c r="M43" s="34"/>
    </row>
    <row r="44" spans="1:13" s="21" customFormat="1" x14ac:dyDescent="0.3">
      <c r="A44" s="68" t="s">
        <v>228</v>
      </c>
      <c r="B44" s="257"/>
      <c r="C44" s="258"/>
      <c r="D44" s="258"/>
      <c r="E44" s="258"/>
      <c r="F44" s="258"/>
      <c r="G44" s="34"/>
      <c r="H44" s="34"/>
      <c r="I44" s="34"/>
      <c r="J44" s="34"/>
      <c r="K44" s="34"/>
      <c r="L44" s="34"/>
      <c r="M44" s="34"/>
    </row>
    <row r="45" spans="1:13" s="21" customFormat="1" x14ac:dyDescent="0.3">
      <c r="A45" s="68" t="s">
        <v>118</v>
      </c>
      <c r="B45" s="257"/>
      <c r="C45" s="258"/>
      <c r="D45" s="258"/>
      <c r="E45" s="258"/>
      <c r="F45" s="258"/>
      <c r="G45" s="34"/>
      <c r="H45" s="34"/>
      <c r="I45" s="34"/>
      <c r="J45" s="34"/>
      <c r="K45" s="34"/>
      <c r="L45" s="34"/>
      <c r="M45" s="34"/>
    </row>
    <row r="46" spans="1:13" s="21" customFormat="1" x14ac:dyDescent="0.3">
      <c r="A46" s="68" t="s">
        <v>126</v>
      </c>
      <c r="B46" s="277"/>
      <c r="C46" s="277"/>
      <c r="D46" s="277"/>
      <c r="E46" s="277"/>
      <c r="F46" s="277"/>
      <c r="G46" s="34"/>
      <c r="H46" s="34"/>
      <c r="I46" s="34"/>
      <c r="J46" s="34"/>
      <c r="K46" s="34"/>
      <c r="L46" s="34"/>
      <c r="M46" s="34"/>
    </row>
    <row r="47" spans="1:13" s="21" customFormat="1" x14ac:dyDescent="0.3">
      <c r="A47" s="68" t="s">
        <v>127</v>
      </c>
      <c r="B47" s="277"/>
      <c r="C47" s="277"/>
      <c r="D47" s="277"/>
      <c r="E47" s="277"/>
      <c r="F47" s="277"/>
      <c r="G47" s="34"/>
      <c r="H47" s="34"/>
      <c r="I47" s="34"/>
      <c r="J47" s="34"/>
      <c r="K47" s="34"/>
      <c r="L47" s="34"/>
      <c r="M47" s="34"/>
    </row>
    <row r="48" spans="1:13" s="21" customFormat="1" x14ac:dyDescent="0.3">
      <c r="A48" s="68" t="s">
        <v>119</v>
      </c>
      <c r="B48" s="277"/>
      <c r="C48" s="277"/>
      <c r="D48" s="277"/>
      <c r="E48" s="277"/>
      <c r="F48" s="277"/>
      <c r="G48" s="34"/>
      <c r="H48" s="34"/>
      <c r="I48" s="34"/>
      <c r="J48" s="34"/>
      <c r="K48" s="34"/>
      <c r="L48" s="34"/>
      <c r="M48" s="34"/>
    </row>
    <row r="49" spans="1:13" s="21" customFormat="1" x14ac:dyDescent="0.3">
      <c r="A49" s="290" t="s">
        <v>120</v>
      </c>
      <c r="B49" s="286"/>
      <c r="C49" s="287"/>
      <c r="D49" s="287"/>
      <c r="E49" s="287"/>
      <c r="F49" s="288"/>
      <c r="G49" s="34"/>
      <c r="H49" s="34"/>
      <c r="I49" s="34"/>
      <c r="J49" s="34"/>
      <c r="K49" s="34"/>
      <c r="L49" s="34"/>
      <c r="M49" s="34"/>
    </row>
    <row r="50" spans="1:13" s="21" customFormat="1" x14ac:dyDescent="0.3">
      <c r="A50" s="291"/>
      <c r="B50" s="240"/>
      <c r="C50" s="241"/>
      <c r="D50" s="241"/>
      <c r="E50" s="241"/>
      <c r="F50" s="242"/>
      <c r="G50" s="34"/>
      <c r="H50" s="34"/>
      <c r="I50" s="34"/>
      <c r="J50" s="34"/>
      <c r="K50" s="34"/>
      <c r="L50" s="34"/>
      <c r="M50" s="34"/>
    </row>
    <row r="51" spans="1:13" s="21" customFormat="1" x14ac:dyDescent="0.3">
      <c r="A51" s="291"/>
      <c r="B51" s="240"/>
      <c r="C51" s="241"/>
      <c r="D51" s="241"/>
      <c r="E51" s="241"/>
      <c r="F51" s="242"/>
      <c r="G51" s="34"/>
      <c r="H51" s="34"/>
      <c r="I51" s="34"/>
      <c r="J51" s="34"/>
      <c r="K51" s="34"/>
      <c r="L51" s="34"/>
      <c r="M51" s="34"/>
    </row>
    <row r="52" spans="1:13" s="21" customFormat="1" x14ac:dyDescent="0.3">
      <c r="A52" s="291"/>
      <c r="B52" s="240"/>
      <c r="C52" s="241"/>
      <c r="D52" s="241"/>
      <c r="E52" s="241"/>
      <c r="F52" s="242"/>
      <c r="G52" s="34"/>
      <c r="H52" s="34"/>
      <c r="I52" s="34"/>
      <c r="J52" s="34"/>
      <c r="K52" s="34"/>
      <c r="L52" s="34"/>
      <c r="M52" s="34"/>
    </row>
    <row r="53" spans="1:13" s="21" customFormat="1" x14ac:dyDescent="0.3">
      <c r="A53" s="291"/>
      <c r="B53" s="240"/>
      <c r="C53" s="241"/>
      <c r="D53" s="241"/>
      <c r="E53" s="241"/>
      <c r="F53" s="242"/>
      <c r="G53" s="34"/>
      <c r="H53" s="34"/>
      <c r="I53" s="34"/>
      <c r="J53" s="34"/>
      <c r="K53" s="34"/>
      <c r="L53" s="34"/>
      <c r="M53" s="34"/>
    </row>
    <row r="54" spans="1:13" s="21" customFormat="1" x14ac:dyDescent="0.3">
      <c r="A54" s="291"/>
      <c r="B54" s="240"/>
      <c r="C54" s="241"/>
      <c r="D54" s="241"/>
      <c r="E54" s="241"/>
      <c r="F54" s="242"/>
      <c r="G54" s="34"/>
      <c r="H54" s="34"/>
      <c r="I54" s="34"/>
      <c r="J54" s="34"/>
      <c r="K54" s="34"/>
      <c r="L54" s="34"/>
      <c r="M54" s="34"/>
    </row>
    <row r="55" spans="1:13" s="21" customFormat="1" x14ac:dyDescent="0.3">
      <c r="A55" s="291"/>
      <c r="B55" s="240"/>
      <c r="C55" s="241"/>
      <c r="D55" s="241"/>
      <c r="E55" s="241"/>
      <c r="F55" s="242"/>
      <c r="G55" s="34"/>
      <c r="H55" s="34"/>
      <c r="I55" s="34"/>
      <c r="J55" s="34"/>
      <c r="K55" s="34"/>
      <c r="L55" s="34"/>
      <c r="M55" s="34"/>
    </row>
    <row r="56" spans="1:13" s="21" customFormat="1" x14ac:dyDescent="0.3">
      <c r="A56" s="291"/>
      <c r="B56" s="240"/>
      <c r="C56" s="241"/>
      <c r="D56" s="241"/>
      <c r="E56" s="241"/>
      <c r="F56" s="242"/>
      <c r="G56" s="34"/>
      <c r="H56" s="34"/>
      <c r="I56" s="34"/>
      <c r="J56" s="34"/>
      <c r="K56" s="34"/>
      <c r="L56" s="34"/>
      <c r="M56" s="34"/>
    </row>
    <row r="57" spans="1:13" s="21" customFormat="1" ht="20.100000000000001" customHeight="1" x14ac:dyDescent="0.3">
      <c r="A57" s="292"/>
      <c r="B57" s="296"/>
      <c r="C57" s="285"/>
      <c r="D57" s="285"/>
      <c r="E57" s="285"/>
      <c r="F57" s="285"/>
      <c r="G57" s="34"/>
      <c r="H57" s="34"/>
      <c r="I57" s="34"/>
      <c r="J57" s="34"/>
      <c r="K57" s="34"/>
      <c r="L57" s="34"/>
      <c r="M57" s="34"/>
    </row>
    <row r="58" spans="1:13" ht="20.100000000000001" customHeight="1" x14ac:dyDescent="0.3">
      <c r="A58" s="73" t="s">
        <v>121</v>
      </c>
      <c r="B58" s="249" t="s">
        <v>230</v>
      </c>
      <c r="C58" s="249"/>
      <c r="D58" s="18"/>
      <c r="E58" s="283"/>
      <c r="F58" s="284"/>
    </row>
    <row r="59" spans="1:13" ht="20.100000000000001" customHeight="1" x14ac:dyDescent="0.3">
      <c r="A59" s="68" t="s">
        <v>231</v>
      </c>
      <c r="B59" s="250"/>
      <c r="C59" s="244"/>
      <c r="D59" s="244"/>
      <c r="E59" s="244"/>
      <c r="F59" s="245"/>
    </row>
    <row r="60" spans="1:13" ht="20.100000000000001" customHeight="1" x14ac:dyDescent="0.3">
      <c r="A60" s="73" t="s">
        <v>122</v>
      </c>
      <c r="B60" s="249" t="s">
        <v>230</v>
      </c>
      <c r="C60" s="249"/>
      <c r="D60" s="18"/>
      <c r="E60" s="283"/>
      <c r="F60" s="284"/>
    </row>
    <row r="61" spans="1:13" ht="20.100000000000001" customHeight="1" x14ac:dyDescent="0.3">
      <c r="A61" s="75" t="s">
        <v>232</v>
      </c>
      <c r="B61" s="243"/>
      <c r="C61" s="244"/>
      <c r="D61" s="244"/>
      <c r="E61" s="244"/>
      <c r="F61" s="245"/>
    </row>
    <row r="62" spans="1:13" ht="20.100000000000001" customHeight="1" x14ac:dyDescent="0.3">
      <c r="A62" s="73" t="s">
        <v>123</v>
      </c>
      <c r="B62" s="249" t="s">
        <v>230</v>
      </c>
      <c r="C62" s="249"/>
      <c r="D62" s="18"/>
      <c r="E62" s="283"/>
      <c r="F62" s="284"/>
    </row>
    <row r="63" spans="1:13" ht="20.100000000000001" customHeight="1" x14ac:dyDescent="0.3">
      <c r="A63" s="75" t="s">
        <v>233</v>
      </c>
      <c r="B63" s="243"/>
      <c r="C63" s="244"/>
      <c r="D63" s="244"/>
      <c r="E63" s="244"/>
      <c r="F63" s="245"/>
    </row>
    <row r="64" spans="1:13" ht="20.100000000000001" customHeight="1" x14ac:dyDescent="0.3">
      <c r="A64" s="73" t="s">
        <v>124</v>
      </c>
      <c r="B64" s="249" t="s">
        <v>230</v>
      </c>
      <c r="C64" s="249"/>
      <c r="D64" s="18"/>
      <c r="E64" s="283"/>
      <c r="F64" s="284"/>
    </row>
    <row r="65" spans="1:13" ht="20.100000000000001" customHeight="1" x14ac:dyDescent="0.3">
      <c r="A65" s="75" t="s">
        <v>234</v>
      </c>
      <c r="B65" s="243"/>
      <c r="C65" s="244"/>
      <c r="D65" s="244"/>
      <c r="E65" s="244"/>
      <c r="F65" s="245"/>
    </row>
    <row r="66" spans="1:13" ht="20.100000000000001" customHeight="1" x14ac:dyDescent="0.3">
      <c r="A66" s="73" t="s">
        <v>125</v>
      </c>
      <c r="B66" s="76"/>
      <c r="C66" s="20" t="s">
        <v>128</v>
      </c>
      <c r="D66" s="246"/>
      <c r="E66" s="247"/>
      <c r="F66" s="248"/>
    </row>
    <row r="67" spans="1:13" ht="20.100000000000001" customHeight="1" x14ac:dyDescent="0.3">
      <c r="A67" s="75" t="s">
        <v>235</v>
      </c>
      <c r="B67" s="243"/>
      <c r="C67" s="244"/>
      <c r="D67" s="244"/>
      <c r="E67" s="244"/>
      <c r="F67" s="245"/>
    </row>
    <row r="68" spans="1:13" ht="20.100000000000001" customHeight="1" x14ac:dyDescent="0.3">
      <c r="A68" s="72" t="s">
        <v>129</v>
      </c>
      <c r="B68" s="279"/>
      <c r="C68" s="280"/>
      <c r="D68" s="280"/>
      <c r="E68" s="280"/>
      <c r="F68" s="281"/>
    </row>
    <row r="69" spans="1:13" ht="20.100000000000001" customHeight="1" x14ac:dyDescent="0.3">
      <c r="A69" s="72" t="s">
        <v>130</v>
      </c>
      <c r="B69" s="279"/>
      <c r="C69" s="280"/>
      <c r="D69" s="280"/>
      <c r="E69" s="280"/>
      <c r="F69" s="281"/>
    </row>
    <row r="70" spans="1:13" s="21" customFormat="1" ht="20.100000000000001" customHeight="1" x14ac:dyDescent="0.3">
      <c r="A70" s="105" t="s">
        <v>131</v>
      </c>
      <c r="B70" s="279"/>
      <c r="C70" s="280"/>
      <c r="D70" s="280"/>
      <c r="E70" s="280"/>
      <c r="F70" s="281"/>
      <c r="G70" s="34"/>
      <c r="H70" s="34"/>
      <c r="I70" s="34"/>
      <c r="J70" s="34"/>
      <c r="K70" s="34"/>
      <c r="L70" s="34"/>
      <c r="M70" s="34"/>
    </row>
    <row r="71" spans="1:13" s="21" customFormat="1" ht="15.75" customHeight="1" thickBot="1" x14ac:dyDescent="0.35">
      <c r="A71" s="34"/>
      <c r="B71" s="34"/>
      <c r="C71" s="34"/>
      <c r="D71" s="34"/>
      <c r="E71" s="34"/>
      <c r="G71" s="34"/>
      <c r="H71" s="34"/>
      <c r="I71" s="34"/>
      <c r="J71" s="34"/>
      <c r="K71" s="34"/>
      <c r="L71" s="34"/>
      <c r="M71" s="34"/>
    </row>
    <row r="72" spans="1:13" s="16" customFormat="1" ht="20.100000000000001" customHeight="1" thickTop="1" thickBot="1" x14ac:dyDescent="0.35">
      <c r="A72" s="297" t="s">
        <v>209</v>
      </c>
      <c r="B72" s="297"/>
      <c r="C72" s="297"/>
      <c r="D72" s="297"/>
      <c r="E72" s="297"/>
      <c r="F72" s="297"/>
      <c r="G72" s="34"/>
      <c r="H72" s="34"/>
      <c r="I72" s="34"/>
      <c r="J72" s="34"/>
      <c r="K72" s="34"/>
      <c r="L72" s="34"/>
      <c r="M72" s="34"/>
    </row>
    <row r="73" spans="1:13" ht="55.5" customHeight="1" thickTop="1" x14ac:dyDescent="0.3">
      <c r="A73"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303"/>
      <c r="C73" s="304"/>
      <c r="D73"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73" s="294"/>
      <c r="F73" s="295"/>
    </row>
    <row r="74" spans="1:13" ht="15.75" customHeight="1" x14ac:dyDescent="0.3">
      <c r="A74" s="231" t="s">
        <v>208</v>
      </c>
      <c r="B74" s="231"/>
      <c r="C74" s="231"/>
      <c r="D74" s="254" t="s">
        <v>456</v>
      </c>
      <c r="E74" s="255"/>
      <c r="F74" s="256"/>
    </row>
    <row r="75" spans="1:13" x14ac:dyDescent="0.3">
      <c r="A75" s="58" t="s">
        <v>182</v>
      </c>
      <c r="B75" s="222"/>
      <c r="C75" s="222"/>
      <c r="D75" s="73" t="s">
        <v>455</v>
      </c>
      <c r="E75" s="73" t="s">
        <v>451</v>
      </c>
      <c r="F75" s="73" t="s">
        <v>452</v>
      </c>
    </row>
    <row r="76" spans="1:13" x14ac:dyDescent="0.3">
      <c r="A76" s="58" t="s">
        <v>201</v>
      </c>
      <c r="B76" s="222"/>
      <c r="C76" s="222"/>
      <c r="D76" s="73" t="s">
        <v>448</v>
      </c>
      <c r="E76" s="156"/>
      <c r="F76" s="157"/>
      <c r="G76" s="113" t="str">
        <f>IF(AND(E76+F76&gt;0,$B$75&lt;&gt;"RIRE, Stuttgart",$B$75&lt;&gt;"Rosen Center",$B$75&lt;&gt;"Lonoke Ag Center"),"* Error - facility not available at selected Research Station","")</f>
        <v/>
      </c>
    </row>
    <row r="77" spans="1:13" x14ac:dyDescent="0.3">
      <c r="A77" s="58" t="s">
        <v>183</v>
      </c>
      <c r="B77" s="260"/>
      <c r="C77" s="260"/>
      <c r="D77" s="73" t="s">
        <v>449</v>
      </c>
      <c r="E77" s="156"/>
      <c r="F77" s="158"/>
      <c r="G77" s="113" t="str">
        <f>IF(AND(E77+F77&gt;0,$B$75&lt;&gt;"RIRE, Stuttgart",$B$75&lt;&gt;"Rosen Center"),"* Error - facility not available at selected Research Station","")</f>
        <v/>
      </c>
    </row>
    <row r="78" spans="1:13" x14ac:dyDescent="0.3">
      <c r="A78" s="58" t="s">
        <v>184</v>
      </c>
      <c r="B78" s="260"/>
      <c r="C78" s="260"/>
      <c r="D78" s="73" t="s">
        <v>450</v>
      </c>
      <c r="E78" s="156"/>
      <c r="F78" s="158"/>
      <c r="G78" s="113" t="str">
        <f>IF(AND(E78+F78&gt;0,$B$75&lt;&gt;"Rosen Center"),"* Error - facility not available at selected Research Station","")</f>
        <v/>
      </c>
    </row>
    <row r="79" spans="1:13" x14ac:dyDescent="0.3">
      <c r="A79" s="58" t="s">
        <v>185</v>
      </c>
      <c r="B79" s="260"/>
      <c r="C79" s="260"/>
      <c r="D79" s="263" t="str">
        <f>IF(OR(G76="* Error - facility not available at selected Research Station",G77="* Error - facility not available at selected Research Station",G78="* Error - facility not available at selected Research Station"),"See error message(s)","")</f>
        <v/>
      </c>
      <c r="E79" s="272"/>
      <c r="F79" s="273"/>
    </row>
    <row r="80" spans="1:13" x14ac:dyDescent="0.3">
      <c r="A80" s="58" t="s">
        <v>186</v>
      </c>
      <c r="B80" s="260"/>
      <c r="C80" s="260"/>
      <c r="D80" s="274"/>
      <c r="E80" s="275"/>
      <c r="F80" s="276"/>
    </row>
    <row r="81" spans="1:14" ht="75.75" customHeight="1" x14ac:dyDescent="0.3">
      <c r="A81" s="282" t="s">
        <v>336</v>
      </c>
      <c r="B81" s="282"/>
      <c r="C81" s="282"/>
      <c r="D81" s="282"/>
      <c r="E81" s="282"/>
      <c r="F81" s="282"/>
    </row>
    <row r="82" spans="1:14" ht="31.5" customHeight="1" x14ac:dyDescent="0.45">
      <c r="A82" s="29" t="s">
        <v>11</v>
      </c>
      <c r="B82" s="29" t="s">
        <v>114</v>
      </c>
      <c r="C82" s="159" t="s">
        <v>141</v>
      </c>
      <c r="D82" s="29" t="s">
        <v>132</v>
      </c>
      <c r="N82" s="59"/>
    </row>
    <row r="83" spans="1:14" x14ac:dyDescent="0.3">
      <c r="A83" s="23" t="s">
        <v>113</v>
      </c>
      <c r="B83" s="7" t="e">
        <f>IF(OR(B75="Rosen Center",B75="Lonoke Ag Center"),0,IF(B75&lt;&gt;"RIRE, Stuttgart",HLOOKUP(B76,Fixed_Rate_Optional,2,FALSE)*B77,100*B77))</f>
        <v>#N/A</v>
      </c>
      <c r="C83" s="13" t="s">
        <v>112</v>
      </c>
      <c r="D83" s="119" t="e">
        <f t="shared" ref="D83" si="3">IF(C83="Yes",B83,0)</f>
        <v>#N/A</v>
      </c>
    </row>
    <row r="84" spans="1:14" x14ac:dyDescent="0.3">
      <c r="A84" s="28" t="s">
        <v>140</v>
      </c>
      <c r="B84" s="24"/>
      <c r="C84" s="24"/>
      <c r="D84" s="25"/>
    </row>
    <row r="85" spans="1:14" x14ac:dyDescent="0.3">
      <c r="A85" s="23" t="s">
        <v>5</v>
      </c>
      <c r="B85" s="65" t="e">
        <f t="shared" ref="B85:B93" si="4">IF(OR($B$75="Rosen Center",$B$75="Lonoke Ag Center"),0,INDEX(Fixed_Rate_Optional,MATCH(A85,Expense_Item,0),MATCH($B$76,Commodity_Item,0))*$B$77)</f>
        <v>#N/A</v>
      </c>
      <c r="C85" s="27"/>
      <c r="D85" s="7">
        <f t="shared" ref="D85:D94" si="5">IF(C85="Yes",B85,0)</f>
        <v>0</v>
      </c>
    </row>
    <row r="86" spans="1:14" x14ac:dyDescent="0.3">
      <c r="A86" s="23" t="s">
        <v>6</v>
      </c>
      <c r="B86" s="65" t="e">
        <f t="shared" si="4"/>
        <v>#N/A</v>
      </c>
      <c r="C86" s="27"/>
      <c r="D86" s="7">
        <f t="shared" si="5"/>
        <v>0</v>
      </c>
    </row>
    <row r="87" spans="1:14" x14ac:dyDescent="0.3">
      <c r="A87" s="23" t="s">
        <v>7</v>
      </c>
      <c r="B87" s="65" t="e">
        <f t="shared" si="4"/>
        <v>#N/A</v>
      </c>
      <c r="C87" s="27"/>
      <c r="D87" s="7">
        <f t="shared" si="5"/>
        <v>0</v>
      </c>
    </row>
    <row r="88" spans="1:14" x14ac:dyDescent="0.3">
      <c r="A88" s="23" t="s">
        <v>8</v>
      </c>
      <c r="B88" s="65" t="e">
        <f t="shared" si="4"/>
        <v>#N/A</v>
      </c>
      <c r="C88" s="27"/>
      <c r="D88" s="7">
        <f t="shared" si="5"/>
        <v>0</v>
      </c>
    </row>
    <row r="89" spans="1:14" x14ac:dyDescent="0.3">
      <c r="A89" s="23" t="s">
        <v>9</v>
      </c>
      <c r="B89" s="65" t="e">
        <f t="shared" si="4"/>
        <v>#N/A</v>
      </c>
      <c r="C89" s="27"/>
      <c r="D89" s="7">
        <f t="shared" si="5"/>
        <v>0</v>
      </c>
    </row>
    <row r="90" spans="1:14" x14ac:dyDescent="0.3">
      <c r="A90" s="23" t="s">
        <v>10</v>
      </c>
      <c r="B90" s="65" t="e">
        <f t="shared" si="4"/>
        <v>#N/A</v>
      </c>
      <c r="C90" s="27"/>
      <c r="D90" s="7">
        <f t="shared" si="5"/>
        <v>0</v>
      </c>
    </row>
    <row r="91" spans="1:14" x14ac:dyDescent="0.3">
      <c r="A91" s="23" t="s">
        <v>13</v>
      </c>
      <c r="B91" s="65" t="e">
        <f t="shared" si="4"/>
        <v>#N/A</v>
      </c>
      <c r="C91" s="27"/>
      <c r="D91" s="7">
        <f t="shared" si="5"/>
        <v>0</v>
      </c>
    </row>
    <row r="92" spans="1:14" x14ac:dyDescent="0.3">
      <c r="A92" s="23" t="s">
        <v>14</v>
      </c>
      <c r="B92" s="65" t="e">
        <f t="shared" si="4"/>
        <v>#N/A</v>
      </c>
      <c r="C92" s="27"/>
      <c r="D92" s="7">
        <f t="shared" si="5"/>
        <v>0</v>
      </c>
    </row>
    <row r="93" spans="1:14" x14ac:dyDescent="0.3">
      <c r="A93" s="23" t="s">
        <v>15</v>
      </c>
      <c r="B93" s="65" t="e">
        <f t="shared" si="4"/>
        <v>#N/A</v>
      </c>
      <c r="C93" s="27"/>
      <c r="D93" s="7">
        <f t="shared" si="5"/>
        <v>0</v>
      </c>
    </row>
    <row r="94" spans="1:14" x14ac:dyDescent="0.3">
      <c r="A94" s="23" t="s">
        <v>16</v>
      </c>
      <c r="B94" s="12" t="e">
        <f>IF(OR(B75="Rosen Center",B75="Lonoke Ag Center"),0,INDEX(Fixed_Rate_Optional,MATCH(A94,Expense_Item,0),MATCH(B76,Commodity_Item,0))*B79*B80)</f>
        <v>#N/A</v>
      </c>
      <c r="C94" s="27"/>
      <c r="D94" s="7">
        <f t="shared" si="5"/>
        <v>0</v>
      </c>
    </row>
    <row r="95" spans="1:14" x14ac:dyDescent="0.3">
      <c r="A95" s="28" t="s">
        <v>133</v>
      </c>
      <c r="B95" s="298"/>
      <c r="C95" s="299"/>
      <c r="D95" s="300"/>
    </row>
    <row r="96" spans="1:14" x14ac:dyDescent="0.3">
      <c r="A96" s="23" t="s">
        <v>134</v>
      </c>
      <c r="B96" s="65" t="e">
        <f t="shared" ref="B96:B101" si="6">IF(OR($B$75="Rosen Center",$B$75="Lonoke Ag Center"),0,INDEX(Fixed_Rate_Optional,MATCH(A96,Expense_Item,0),MATCH($B$76,Commodity_Item,0))*$B$77)</f>
        <v>#N/A</v>
      </c>
      <c r="C96" s="27"/>
      <c r="D96" s="7">
        <f t="shared" ref="D96:D101" si="7">IF(C96="Yes",B96,0)</f>
        <v>0</v>
      </c>
    </row>
    <row r="97" spans="1:13" x14ac:dyDescent="0.3">
      <c r="A97" s="23" t="s">
        <v>135</v>
      </c>
      <c r="B97" s="65" t="e">
        <f t="shared" si="6"/>
        <v>#N/A</v>
      </c>
      <c r="C97" s="27"/>
      <c r="D97" s="7">
        <f t="shared" si="7"/>
        <v>0</v>
      </c>
    </row>
    <row r="98" spans="1:13" x14ac:dyDescent="0.3">
      <c r="A98" s="23" t="s">
        <v>136</v>
      </c>
      <c r="B98" s="65" t="e">
        <f t="shared" si="6"/>
        <v>#N/A</v>
      </c>
      <c r="C98" s="27"/>
      <c r="D98" s="7">
        <f t="shared" si="7"/>
        <v>0</v>
      </c>
    </row>
    <row r="99" spans="1:13" x14ac:dyDescent="0.3">
      <c r="A99" s="23" t="s">
        <v>137</v>
      </c>
      <c r="B99" s="65" t="e">
        <f t="shared" si="6"/>
        <v>#N/A</v>
      </c>
      <c r="C99" s="27"/>
      <c r="D99" s="7">
        <f t="shared" si="7"/>
        <v>0</v>
      </c>
    </row>
    <row r="100" spans="1:13" x14ac:dyDescent="0.3">
      <c r="A100" s="23" t="s">
        <v>138</v>
      </c>
      <c r="B100" s="65" t="e">
        <f t="shared" si="6"/>
        <v>#N/A</v>
      </c>
      <c r="C100" s="27"/>
      <c r="D100" s="7">
        <f t="shared" si="7"/>
        <v>0</v>
      </c>
    </row>
    <row r="101" spans="1:13" x14ac:dyDescent="0.3">
      <c r="A101" s="23" t="s">
        <v>139</v>
      </c>
      <c r="B101" s="65" t="e">
        <f t="shared" si="6"/>
        <v>#N/A</v>
      </c>
      <c r="C101" s="27"/>
      <c r="D101" s="7">
        <f t="shared" si="7"/>
        <v>0</v>
      </c>
    </row>
    <row r="102" spans="1:13" ht="15.75" customHeight="1" x14ac:dyDescent="0.3">
      <c r="A102" s="28" t="str">
        <f>B75&amp;" Total"</f>
        <v xml:space="preserve"> Total</v>
      </c>
      <c r="B102" s="121"/>
      <c r="C102" s="20"/>
      <c r="D102" s="26" t="e">
        <f>SUM(D83,D85:D94,D96:D101)</f>
        <v>#N/A</v>
      </c>
    </row>
    <row r="103" spans="1:13" ht="15.75" customHeight="1" x14ac:dyDescent="0.3">
      <c r="A103" s="28" t="s">
        <v>460</v>
      </c>
      <c r="B103" s="29" t="s">
        <v>464</v>
      </c>
      <c r="C103" s="29" t="s">
        <v>466</v>
      </c>
      <c r="D103" s="29" t="s">
        <v>465</v>
      </c>
      <c r="E103" s="29" t="s">
        <v>111</v>
      </c>
    </row>
    <row r="104" spans="1:13" x14ac:dyDescent="0.3">
      <c r="A104" s="68" t="s">
        <v>457</v>
      </c>
      <c r="B104" s="132">
        <f>Greenhouse_Rate</f>
        <v>1</v>
      </c>
      <c r="C104" s="137">
        <f>IF(OR(B75="Lonoke Ag Center",B75="RIRE, Stuttgart",B75="Rosen Center"),E76,0)</f>
        <v>0</v>
      </c>
      <c r="D104" s="136">
        <f>IF(OR(B75="Lonoke Ag Center",B75="RIRE, Stuttgart",B75="Rosen Center"),F76,0)</f>
        <v>0</v>
      </c>
      <c r="E104" s="135">
        <f>C104*D104*B104</f>
        <v>0</v>
      </c>
    </row>
    <row r="105" spans="1:13" x14ac:dyDescent="0.3">
      <c r="A105" s="68" t="s">
        <v>458</v>
      </c>
      <c r="B105" s="132">
        <f>Growth_Chamber_Rate</f>
        <v>6.8</v>
      </c>
      <c r="C105" s="137">
        <f>IF(OR(B75="RIRE, Stuttgart",B75="Rosen Center"),E77,0)</f>
        <v>0</v>
      </c>
      <c r="D105" s="136">
        <f>IF(OR(B75="RIRE, Stuttgart",B75="Rosen Center"),F77,0)</f>
        <v>0</v>
      </c>
      <c r="E105" s="135">
        <f>C105*D105*B105</f>
        <v>0</v>
      </c>
    </row>
    <row r="106" spans="1:13" x14ac:dyDescent="0.3">
      <c r="A106" s="68" t="s">
        <v>459</v>
      </c>
      <c r="B106" s="132">
        <f>Quarantine_Rate</f>
        <v>1.1000000000000001</v>
      </c>
      <c r="C106" s="137">
        <f>IF(B75="Rosen Center",E78,0)</f>
        <v>0</v>
      </c>
      <c r="D106" s="136">
        <f>IF(B75="Rosen Center",F78,0)</f>
        <v>0</v>
      </c>
      <c r="E106" s="135">
        <f>C106*D106*B106</f>
        <v>0</v>
      </c>
    </row>
    <row r="107" spans="1:13" x14ac:dyDescent="0.3">
      <c r="A107" s="130" t="s">
        <v>111</v>
      </c>
      <c r="B107" s="144"/>
      <c r="C107" s="137">
        <f>SUM(C104:C106)</f>
        <v>0</v>
      </c>
      <c r="D107" s="136">
        <f>SUM(D104:D106)</f>
        <v>0</v>
      </c>
      <c r="E107" s="26">
        <f t="shared" ref="E107" si="8">SUM(E104:E106)</f>
        <v>0</v>
      </c>
    </row>
    <row r="108" spans="1:13" s="16" customFormat="1" x14ac:dyDescent="0.3">
      <c r="A108" s="254" t="s">
        <v>229</v>
      </c>
      <c r="B108" s="255"/>
      <c r="C108" s="255"/>
      <c r="D108" s="255"/>
      <c r="E108" s="255"/>
      <c r="F108" s="255"/>
      <c r="G108" s="34"/>
      <c r="H108" s="34"/>
      <c r="I108" s="34"/>
      <c r="J108" s="34"/>
      <c r="K108" s="34"/>
      <c r="L108" s="34"/>
      <c r="M108" s="34"/>
    </row>
    <row r="109" spans="1:13" ht="51.9" customHeight="1" x14ac:dyDescent="0.3">
      <c r="A109" s="68" t="s">
        <v>115</v>
      </c>
      <c r="B109" s="278"/>
      <c r="C109" s="278"/>
      <c r="D109" s="278"/>
      <c r="E109" s="278"/>
      <c r="F109" s="278"/>
    </row>
    <row r="110" spans="1:13" ht="18.75" customHeight="1" x14ac:dyDescent="0.3">
      <c r="A110" s="68" t="s">
        <v>116</v>
      </c>
      <c r="B110" s="289"/>
      <c r="C110" s="289"/>
      <c r="D110" s="289"/>
      <c r="E110" s="289"/>
      <c r="F110" s="289"/>
    </row>
    <row r="111" spans="1:13" x14ac:dyDescent="0.3">
      <c r="A111" s="68" t="s">
        <v>117</v>
      </c>
      <c r="B111" s="258"/>
      <c r="C111" s="258"/>
      <c r="D111" s="258"/>
      <c r="E111" s="258"/>
      <c r="F111" s="258"/>
    </row>
    <row r="112" spans="1:13" x14ac:dyDescent="0.3">
      <c r="A112" s="68" t="s">
        <v>228</v>
      </c>
      <c r="B112" s="258"/>
      <c r="C112" s="258"/>
      <c r="D112" s="258"/>
      <c r="E112" s="258"/>
      <c r="F112" s="258"/>
    </row>
    <row r="113" spans="1:14" x14ac:dyDescent="0.3">
      <c r="A113" s="68" t="s">
        <v>118</v>
      </c>
      <c r="B113" s="257"/>
      <c r="C113" s="258"/>
      <c r="D113" s="258"/>
      <c r="E113" s="258"/>
      <c r="F113" s="258"/>
    </row>
    <row r="114" spans="1:14" x14ac:dyDescent="0.3">
      <c r="A114" s="68" t="s">
        <v>126</v>
      </c>
      <c r="B114" s="277"/>
      <c r="C114" s="277"/>
      <c r="D114" s="277"/>
      <c r="E114" s="277"/>
      <c r="F114" s="277"/>
    </row>
    <row r="115" spans="1:14" x14ac:dyDescent="0.3">
      <c r="A115" s="68" t="s">
        <v>127</v>
      </c>
      <c r="B115" s="277"/>
      <c r="C115" s="277"/>
      <c r="D115" s="277"/>
      <c r="E115" s="277"/>
      <c r="F115" s="277"/>
    </row>
    <row r="116" spans="1:14" x14ac:dyDescent="0.3">
      <c r="A116" s="68" t="s">
        <v>119</v>
      </c>
      <c r="B116" s="277"/>
      <c r="C116" s="277"/>
      <c r="D116" s="277"/>
      <c r="E116" s="277"/>
      <c r="F116" s="277"/>
    </row>
    <row r="117" spans="1:14" x14ac:dyDescent="0.3">
      <c r="A117" s="290" t="s">
        <v>120</v>
      </c>
      <c r="B117" s="286"/>
      <c r="C117" s="287"/>
      <c r="D117" s="287"/>
      <c r="E117" s="287"/>
      <c r="F117" s="288"/>
    </row>
    <row r="118" spans="1:14" ht="15.75" customHeight="1" x14ac:dyDescent="0.3">
      <c r="A118" s="291"/>
      <c r="B118" s="240"/>
      <c r="C118" s="241"/>
      <c r="D118" s="241"/>
      <c r="E118" s="241"/>
      <c r="F118" s="242"/>
      <c r="N118" s="60"/>
    </row>
    <row r="119" spans="1:14" x14ac:dyDescent="0.3">
      <c r="A119" s="291"/>
      <c r="B119" s="240"/>
      <c r="C119" s="241"/>
      <c r="D119" s="241"/>
      <c r="E119" s="241"/>
      <c r="F119" s="242"/>
    </row>
    <row r="120" spans="1:14" x14ac:dyDescent="0.3">
      <c r="A120" s="291"/>
      <c r="B120" s="240"/>
      <c r="C120" s="241"/>
      <c r="D120" s="241"/>
      <c r="E120" s="241"/>
      <c r="F120" s="242"/>
    </row>
    <row r="121" spans="1:14" x14ac:dyDescent="0.3">
      <c r="A121" s="291"/>
      <c r="B121" s="240"/>
      <c r="C121" s="241"/>
      <c r="D121" s="241"/>
      <c r="E121" s="241"/>
      <c r="F121" s="242"/>
    </row>
    <row r="122" spans="1:14" x14ac:dyDescent="0.3">
      <c r="A122" s="291"/>
      <c r="B122" s="240"/>
      <c r="C122" s="241"/>
      <c r="D122" s="241"/>
      <c r="E122" s="241"/>
      <c r="F122" s="242"/>
    </row>
    <row r="123" spans="1:14" x14ac:dyDescent="0.3">
      <c r="A123" s="291"/>
      <c r="B123" s="240"/>
      <c r="C123" s="241"/>
      <c r="D123" s="241"/>
      <c r="E123" s="241"/>
      <c r="F123" s="242"/>
    </row>
    <row r="124" spans="1:14" x14ac:dyDescent="0.3">
      <c r="A124" s="291"/>
      <c r="B124" s="240"/>
      <c r="C124" s="241"/>
      <c r="D124" s="241"/>
      <c r="E124" s="241"/>
      <c r="F124" s="242"/>
    </row>
    <row r="125" spans="1:14" x14ac:dyDescent="0.3">
      <c r="A125" s="292"/>
      <c r="B125" s="285"/>
      <c r="C125" s="285"/>
      <c r="D125" s="285"/>
      <c r="E125" s="285"/>
      <c r="F125" s="285"/>
    </row>
    <row r="126" spans="1:14" x14ac:dyDescent="0.3">
      <c r="A126" s="73" t="s">
        <v>121</v>
      </c>
      <c r="B126" s="249" t="s">
        <v>230</v>
      </c>
      <c r="C126" s="249"/>
      <c r="D126" s="18"/>
      <c r="E126" s="283"/>
      <c r="F126" s="284"/>
    </row>
    <row r="127" spans="1:14" x14ac:dyDescent="0.3">
      <c r="A127" s="68" t="s">
        <v>231</v>
      </c>
      <c r="B127" s="243"/>
      <c r="C127" s="244"/>
      <c r="D127" s="244"/>
      <c r="E127" s="244"/>
      <c r="F127" s="245"/>
    </row>
    <row r="128" spans="1:14" x14ac:dyDescent="0.3">
      <c r="A128" s="73" t="s">
        <v>122</v>
      </c>
      <c r="B128" s="249" t="s">
        <v>230</v>
      </c>
      <c r="C128" s="249"/>
      <c r="D128" s="18"/>
      <c r="E128" s="283"/>
      <c r="F128" s="284"/>
    </row>
    <row r="129" spans="1:13" x14ac:dyDescent="0.3">
      <c r="A129" s="75" t="s">
        <v>232</v>
      </c>
      <c r="B129" s="243"/>
      <c r="C129" s="244"/>
      <c r="D129" s="244"/>
      <c r="E129" s="244"/>
      <c r="F129" s="245"/>
    </row>
    <row r="130" spans="1:13" x14ac:dyDescent="0.3">
      <c r="A130" s="73" t="s">
        <v>123</v>
      </c>
      <c r="B130" s="249" t="s">
        <v>230</v>
      </c>
      <c r="C130" s="249"/>
      <c r="D130" s="18"/>
      <c r="E130" s="283"/>
      <c r="F130" s="284"/>
    </row>
    <row r="131" spans="1:13" x14ac:dyDescent="0.3">
      <c r="A131" s="75" t="s">
        <v>233</v>
      </c>
      <c r="B131" s="243"/>
      <c r="C131" s="244"/>
      <c r="D131" s="244"/>
      <c r="E131" s="244"/>
      <c r="F131" s="245"/>
    </row>
    <row r="132" spans="1:13" x14ac:dyDescent="0.3">
      <c r="A132" s="73" t="s">
        <v>124</v>
      </c>
      <c r="B132" s="249" t="s">
        <v>230</v>
      </c>
      <c r="C132" s="249"/>
      <c r="D132" s="18"/>
      <c r="E132" s="283"/>
      <c r="F132" s="284"/>
    </row>
    <row r="133" spans="1:13" x14ac:dyDescent="0.3">
      <c r="A133" s="75" t="s">
        <v>234</v>
      </c>
      <c r="B133" s="243"/>
      <c r="C133" s="244"/>
      <c r="D133" s="244"/>
      <c r="E133" s="244"/>
      <c r="F133" s="245"/>
    </row>
    <row r="134" spans="1:13" x14ac:dyDescent="0.3">
      <c r="A134" s="73" t="s">
        <v>125</v>
      </c>
      <c r="B134" s="76" t="s">
        <v>119</v>
      </c>
      <c r="C134" s="20" t="s">
        <v>128</v>
      </c>
      <c r="D134" s="246"/>
      <c r="E134" s="247"/>
      <c r="F134" s="248"/>
    </row>
    <row r="135" spans="1:13" x14ac:dyDescent="0.3">
      <c r="A135" s="75" t="s">
        <v>235</v>
      </c>
      <c r="B135" s="243"/>
      <c r="C135" s="244"/>
      <c r="D135" s="244"/>
      <c r="E135" s="244"/>
      <c r="F135" s="245"/>
    </row>
    <row r="136" spans="1:13" x14ac:dyDescent="0.3">
      <c r="A136" s="72" t="s">
        <v>129</v>
      </c>
      <c r="B136" s="279"/>
      <c r="C136" s="280"/>
      <c r="D136" s="280"/>
      <c r="E136" s="280"/>
      <c r="F136" s="281"/>
    </row>
    <row r="137" spans="1:13" x14ac:dyDescent="0.3">
      <c r="A137" s="72" t="s">
        <v>130</v>
      </c>
      <c r="B137" s="279"/>
      <c r="C137" s="280"/>
      <c r="D137" s="280"/>
      <c r="E137" s="280"/>
      <c r="F137" s="281"/>
    </row>
    <row r="138" spans="1:13" x14ac:dyDescent="0.3">
      <c r="A138" s="105" t="s">
        <v>131</v>
      </c>
      <c r="B138" s="279"/>
      <c r="C138" s="280"/>
      <c r="D138" s="280"/>
      <c r="E138" s="280"/>
      <c r="F138" s="281"/>
    </row>
    <row r="139" spans="1:13" ht="15.75" customHeight="1" thickBot="1" x14ac:dyDescent="0.35"/>
    <row r="140" spans="1:13" ht="20.100000000000001" customHeight="1" thickTop="1" thickBot="1" x14ac:dyDescent="0.35">
      <c r="A140" s="301" t="s">
        <v>211</v>
      </c>
      <c r="B140" s="301"/>
      <c r="C140" s="301"/>
      <c r="D140" s="301"/>
      <c r="E140" s="301"/>
      <c r="F140" s="301"/>
    </row>
    <row r="141" spans="1:13" s="16" customFormat="1" ht="57.75" customHeight="1" thickTop="1" x14ac:dyDescent="0.3">
      <c r="A141"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303"/>
      <c r="C141" s="304"/>
      <c r="D141"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141" s="294"/>
      <c r="F141" s="295"/>
      <c r="G141" s="34"/>
      <c r="H141" s="34"/>
      <c r="I141" s="34"/>
      <c r="J141" s="34"/>
      <c r="K141" s="34"/>
      <c r="L141" s="34"/>
      <c r="M141" s="34"/>
    </row>
    <row r="142" spans="1:13" ht="15.75" customHeight="1" x14ac:dyDescent="0.3">
      <c r="A142" s="231" t="s">
        <v>208</v>
      </c>
      <c r="B142" s="231"/>
      <c r="C142" s="231"/>
      <c r="D142" s="254" t="s">
        <v>456</v>
      </c>
      <c r="E142" s="255"/>
      <c r="F142" s="256"/>
    </row>
    <row r="143" spans="1:13" ht="18.75" customHeight="1" x14ac:dyDescent="0.3">
      <c r="A143" s="58" t="s">
        <v>182</v>
      </c>
      <c r="B143" s="222"/>
      <c r="C143" s="222"/>
      <c r="D143" s="73" t="s">
        <v>455</v>
      </c>
      <c r="E143" s="73" t="s">
        <v>451</v>
      </c>
      <c r="F143" s="73" t="s">
        <v>452</v>
      </c>
    </row>
    <row r="144" spans="1:13" x14ac:dyDescent="0.3">
      <c r="A144" s="58" t="s">
        <v>201</v>
      </c>
      <c r="B144" s="222"/>
      <c r="C144" s="222"/>
      <c r="D144" s="73" t="s">
        <v>448</v>
      </c>
      <c r="E144" s="156"/>
      <c r="F144" s="157"/>
      <c r="G144" s="113" t="str">
        <f>IF(AND(E144+F144&gt;0,$B$143&lt;&gt;"RIRE, Stuttgart",$B$143&lt;&gt;"Rosen Center",$B$143&lt;&gt;"Lonoke Ag Center"),"* Error - facility not available at selected Research Station","")</f>
        <v/>
      </c>
    </row>
    <row r="145" spans="1:14" x14ac:dyDescent="0.3">
      <c r="A145" s="58" t="s">
        <v>183</v>
      </c>
      <c r="B145" s="260"/>
      <c r="C145" s="260"/>
      <c r="D145" s="73" t="s">
        <v>449</v>
      </c>
      <c r="E145" s="156"/>
      <c r="F145" s="158"/>
      <c r="G145" s="113" t="str">
        <f>IF(AND(E145+F145&gt;0,$B$143&lt;&gt;"RIRE, Stuttgart",$B$143&lt;&gt;"Rosen Center"),"* Error - facility not available at selected Research Station","")</f>
        <v/>
      </c>
    </row>
    <row r="146" spans="1:14" x14ac:dyDescent="0.3">
      <c r="A146" s="58" t="s">
        <v>184</v>
      </c>
      <c r="B146" s="260"/>
      <c r="C146" s="260"/>
      <c r="D146" s="73" t="s">
        <v>450</v>
      </c>
      <c r="E146" s="156"/>
      <c r="F146" s="158"/>
      <c r="G146" s="113" t="str">
        <f>IF(AND(E146+F146&gt;0,$B$143&lt;&gt;"Rosen Center"),"* Error - facility not available at selected Research Station","")</f>
        <v/>
      </c>
    </row>
    <row r="147" spans="1:14" x14ac:dyDescent="0.3">
      <c r="A147" s="58" t="s">
        <v>185</v>
      </c>
      <c r="B147" s="260"/>
      <c r="C147" s="260"/>
      <c r="D147" s="263" t="str">
        <f>IF(OR(G144="* Error - facility not available at selected Research Station",G145="* Error - facility not available at selected Research Station",G146="* Error - facility not available at selected Research Station"),"See error message(s)","")</f>
        <v/>
      </c>
      <c r="E147" s="272"/>
      <c r="F147" s="273"/>
    </row>
    <row r="148" spans="1:14" x14ac:dyDescent="0.3">
      <c r="A148" s="58" t="s">
        <v>186</v>
      </c>
      <c r="B148" s="260"/>
      <c r="C148" s="260"/>
      <c r="D148" s="274"/>
      <c r="E148" s="275"/>
      <c r="F148" s="276"/>
    </row>
    <row r="149" spans="1:14" ht="75.75" customHeight="1" x14ac:dyDescent="0.3">
      <c r="A149" s="282" t="s">
        <v>336</v>
      </c>
      <c r="B149" s="282"/>
      <c r="C149" s="282"/>
      <c r="D149" s="282"/>
      <c r="E149" s="282"/>
      <c r="F149" s="282"/>
    </row>
    <row r="150" spans="1:14" ht="31.2" x14ac:dyDescent="0.3">
      <c r="A150" s="29" t="s">
        <v>11</v>
      </c>
      <c r="B150" s="29" t="s">
        <v>114</v>
      </c>
      <c r="C150" s="159" t="s">
        <v>141</v>
      </c>
      <c r="D150" s="29" t="s">
        <v>132</v>
      </c>
    </row>
    <row r="151" spans="1:14" ht="23.4" x14ac:dyDescent="0.3">
      <c r="A151" s="23" t="s">
        <v>113</v>
      </c>
      <c r="B151" s="7" t="e">
        <f>IF(OR(B143="Rosen Center",B143="Lonoke Ag Center"),0,IF(B143&lt;&gt;"RIRE, Stuttgart",HLOOKUP(B144,Fixed_Rate_Optional,2,FALSE)*B145,100*B145))</f>
        <v>#N/A</v>
      </c>
      <c r="C151" s="13" t="s">
        <v>112</v>
      </c>
      <c r="D151" s="7" t="e">
        <f t="shared" ref="D151" si="9">IF(C151="Yes",B151,0)</f>
        <v>#N/A</v>
      </c>
      <c r="N151" s="60"/>
    </row>
    <row r="152" spans="1:14" ht="15.75" customHeight="1" x14ac:dyDescent="0.3">
      <c r="A152" s="28" t="s">
        <v>140</v>
      </c>
      <c r="B152" s="24"/>
      <c r="C152" s="24"/>
      <c r="D152" s="25"/>
      <c r="N152" s="60"/>
    </row>
    <row r="153" spans="1:14" x14ac:dyDescent="0.3">
      <c r="A153" s="23" t="s">
        <v>5</v>
      </c>
      <c r="B153" s="12" t="e">
        <f t="shared" ref="B153:B161" si="10">IF(OR($B$143="Rosen Center",$B$143="Lonoke Ag Center"),0,INDEX(Fixed_Rate_Optional,MATCH(A153,Expense_Item,0),MATCH($B$144,Commodity_Item,0))*$B$145)</f>
        <v>#N/A</v>
      </c>
      <c r="C153" s="27"/>
      <c r="D153" s="7">
        <f t="shared" ref="D153:D162" si="11">IF(C153="Yes",B153,0)</f>
        <v>0</v>
      </c>
    </row>
    <row r="154" spans="1:14" x14ac:dyDescent="0.3">
      <c r="A154" s="23" t="s">
        <v>6</v>
      </c>
      <c r="B154" s="12" t="e">
        <f t="shared" si="10"/>
        <v>#N/A</v>
      </c>
      <c r="C154" s="27"/>
      <c r="D154" s="7">
        <f t="shared" si="11"/>
        <v>0</v>
      </c>
    </row>
    <row r="155" spans="1:14" x14ac:dyDescent="0.3">
      <c r="A155" s="23" t="s">
        <v>7</v>
      </c>
      <c r="B155" s="12" t="e">
        <f t="shared" si="10"/>
        <v>#N/A</v>
      </c>
      <c r="C155" s="27"/>
      <c r="D155" s="7">
        <f t="shared" si="11"/>
        <v>0</v>
      </c>
    </row>
    <row r="156" spans="1:14" x14ac:dyDescent="0.3">
      <c r="A156" s="23" t="s">
        <v>8</v>
      </c>
      <c r="B156" s="12" t="e">
        <f t="shared" si="10"/>
        <v>#N/A</v>
      </c>
      <c r="C156" s="27"/>
      <c r="D156" s="7">
        <f t="shared" si="11"/>
        <v>0</v>
      </c>
    </row>
    <row r="157" spans="1:14" x14ac:dyDescent="0.3">
      <c r="A157" s="23" t="s">
        <v>9</v>
      </c>
      <c r="B157" s="12" t="e">
        <f t="shared" si="10"/>
        <v>#N/A</v>
      </c>
      <c r="C157" s="27"/>
      <c r="D157" s="7">
        <f t="shared" si="11"/>
        <v>0</v>
      </c>
    </row>
    <row r="158" spans="1:14" x14ac:dyDescent="0.3">
      <c r="A158" s="23" t="s">
        <v>10</v>
      </c>
      <c r="B158" s="12" t="e">
        <f t="shared" si="10"/>
        <v>#N/A</v>
      </c>
      <c r="C158" s="27"/>
      <c r="D158" s="7">
        <f t="shared" si="11"/>
        <v>0</v>
      </c>
    </row>
    <row r="159" spans="1:14" x14ac:dyDescent="0.3">
      <c r="A159" s="23" t="s">
        <v>13</v>
      </c>
      <c r="B159" s="12" t="e">
        <f t="shared" si="10"/>
        <v>#N/A</v>
      </c>
      <c r="C159" s="27"/>
      <c r="D159" s="7">
        <f t="shared" si="11"/>
        <v>0</v>
      </c>
    </row>
    <row r="160" spans="1:14" x14ac:dyDescent="0.3">
      <c r="A160" s="23" t="s">
        <v>14</v>
      </c>
      <c r="B160" s="12" t="e">
        <f t="shared" si="10"/>
        <v>#N/A</v>
      </c>
      <c r="C160" s="27"/>
      <c r="D160" s="7">
        <f t="shared" si="11"/>
        <v>0</v>
      </c>
    </row>
    <row r="161" spans="1:6" x14ac:dyDescent="0.3">
      <c r="A161" s="23" t="s">
        <v>15</v>
      </c>
      <c r="B161" s="12" t="e">
        <f t="shared" si="10"/>
        <v>#N/A</v>
      </c>
      <c r="C161" s="27"/>
      <c r="D161" s="7">
        <f t="shared" si="11"/>
        <v>0</v>
      </c>
    </row>
    <row r="162" spans="1:6" x14ac:dyDescent="0.3">
      <c r="A162" s="23" t="s">
        <v>16</v>
      </c>
      <c r="B162" s="12" t="e">
        <f>IF(OR(B143="Rosen Center",B143="Lonoke Ag Center"),0,INDEX(Fixed_Rate_Optional,MATCH(A162,Expense_Item,0),MATCH(B144,Commodity_Item,0))*B147*B148)</f>
        <v>#N/A</v>
      </c>
      <c r="C162" s="27"/>
      <c r="D162" s="7">
        <f t="shared" si="11"/>
        <v>0</v>
      </c>
    </row>
    <row r="163" spans="1:6" x14ac:dyDescent="0.3">
      <c r="A163" s="28" t="s">
        <v>133</v>
      </c>
      <c r="B163" s="298"/>
      <c r="C163" s="299"/>
      <c r="D163" s="300"/>
    </row>
    <row r="164" spans="1:6" x14ac:dyDescent="0.3">
      <c r="A164" s="23" t="s">
        <v>134</v>
      </c>
      <c r="B164" s="12" t="e">
        <f t="shared" ref="B164:B169" si="12">IF(OR($B$143="Rosen Center",$B$143="Lonoke Ag Center"),0,INDEX(Fixed_Rate_Optional,MATCH(A164,Expense_Item,0),MATCH($B$144,Commodity_Item,0))*$B$145)</f>
        <v>#N/A</v>
      </c>
      <c r="C164" s="27"/>
      <c r="D164" s="7">
        <f t="shared" ref="D164:D169" si="13">IF(C164="Yes",B164,0)</f>
        <v>0</v>
      </c>
    </row>
    <row r="165" spans="1:6" x14ac:dyDescent="0.3">
      <c r="A165" s="23" t="s">
        <v>135</v>
      </c>
      <c r="B165" s="12" t="e">
        <f t="shared" si="12"/>
        <v>#N/A</v>
      </c>
      <c r="C165" s="27"/>
      <c r="D165" s="7">
        <f t="shared" si="13"/>
        <v>0</v>
      </c>
    </row>
    <row r="166" spans="1:6" x14ac:dyDescent="0.3">
      <c r="A166" s="23" t="s">
        <v>136</v>
      </c>
      <c r="B166" s="12" t="e">
        <f t="shared" si="12"/>
        <v>#N/A</v>
      </c>
      <c r="C166" s="27"/>
      <c r="D166" s="7">
        <f t="shared" si="13"/>
        <v>0</v>
      </c>
    </row>
    <row r="167" spans="1:6" x14ac:dyDescent="0.3">
      <c r="A167" s="23" t="s">
        <v>137</v>
      </c>
      <c r="B167" s="12" t="e">
        <f t="shared" si="12"/>
        <v>#N/A</v>
      </c>
      <c r="C167" s="27"/>
      <c r="D167" s="7">
        <f t="shared" si="13"/>
        <v>0</v>
      </c>
    </row>
    <row r="168" spans="1:6" x14ac:dyDescent="0.3">
      <c r="A168" s="23" t="s">
        <v>138</v>
      </c>
      <c r="B168" s="12" t="e">
        <f t="shared" si="12"/>
        <v>#N/A</v>
      </c>
      <c r="C168" s="27"/>
      <c r="D168" s="7">
        <f t="shared" si="13"/>
        <v>0</v>
      </c>
    </row>
    <row r="169" spans="1:6" x14ac:dyDescent="0.3">
      <c r="A169" s="23" t="s">
        <v>139</v>
      </c>
      <c r="B169" s="12" t="e">
        <f t="shared" si="12"/>
        <v>#N/A</v>
      </c>
      <c r="C169" s="27"/>
      <c r="D169" s="7">
        <f t="shared" si="13"/>
        <v>0</v>
      </c>
    </row>
    <row r="170" spans="1:6" x14ac:dyDescent="0.3">
      <c r="A170" s="28" t="str">
        <f>B143&amp;" Total"</f>
        <v xml:space="preserve"> Total</v>
      </c>
      <c r="B170" s="121"/>
      <c r="C170" s="20"/>
      <c r="D170" s="26" t="e">
        <f>SUM(D151,D153:D162,D164:D169)</f>
        <v>#N/A</v>
      </c>
    </row>
    <row r="171" spans="1:6" ht="15.75" customHeight="1" x14ac:dyDescent="0.3">
      <c r="A171" s="28" t="s">
        <v>460</v>
      </c>
      <c r="B171" s="29" t="s">
        <v>464</v>
      </c>
      <c r="C171" s="29" t="s">
        <v>466</v>
      </c>
      <c r="D171" s="29" t="s">
        <v>465</v>
      </c>
      <c r="E171" s="29" t="s">
        <v>111</v>
      </c>
    </row>
    <row r="172" spans="1:6" x14ac:dyDescent="0.3">
      <c r="A172" s="68" t="s">
        <v>457</v>
      </c>
      <c r="B172" s="132">
        <f>Greenhouse_Rate</f>
        <v>1</v>
      </c>
      <c r="C172" s="137">
        <f>IF(OR(B143="Lonoke Ag Center",B143="RIRE, Stuttgart",B143="Rosen Center"),E144,0)</f>
        <v>0</v>
      </c>
      <c r="D172" s="136">
        <f>IF(OR(B143="Lonoke Ag Center",B143="RIRE, Stuttgart",B143="Rosen Center"),F144,0)</f>
        <v>0</v>
      </c>
      <c r="E172" s="135">
        <f>C172*D172*B172</f>
        <v>0</v>
      </c>
    </row>
    <row r="173" spans="1:6" x14ac:dyDescent="0.3">
      <c r="A173" s="68" t="s">
        <v>458</v>
      </c>
      <c r="B173" s="132">
        <f>Growth_Chamber_Rate</f>
        <v>6.8</v>
      </c>
      <c r="C173" s="137">
        <f>IF(OR(B143="RIRE, Stuttgart",B143="Rosen Center"),E145,0)</f>
        <v>0</v>
      </c>
      <c r="D173" s="136">
        <f>IF(OR(B143="RIRE, Stuttgart",B143="Rosen Center"),F145,0)</f>
        <v>0</v>
      </c>
      <c r="E173" s="135">
        <f>C173*D173*B173</f>
        <v>0</v>
      </c>
    </row>
    <row r="174" spans="1:6" x14ac:dyDescent="0.3">
      <c r="A174" s="68" t="s">
        <v>459</v>
      </c>
      <c r="B174" s="132">
        <f>Quarantine_Rate</f>
        <v>1.1000000000000001</v>
      </c>
      <c r="C174" s="137">
        <f>IF(B143="Rosen Center",E146,0)</f>
        <v>0</v>
      </c>
      <c r="D174" s="136">
        <f>IF(B143="Rosen Center",F146,0)</f>
        <v>0</v>
      </c>
      <c r="E174" s="135">
        <f>C174*D174*B174</f>
        <v>0</v>
      </c>
    </row>
    <row r="175" spans="1:6" x14ac:dyDescent="0.3">
      <c r="A175" s="130" t="s">
        <v>111</v>
      </c>
      <c r="B175" s="144"/>
      <c r="C175" s="137">
        <f>SUM(C172:C174)</f>
        <v>0</v>
      </c>
      <c r="D175" s="136">
        <f>SUM(D172:D174)</f>
        <v>0</v>
      </c>
      <c r="E175" s="26">
        <f t="shared" ref="E175" si="14">SUM(E172:E174)</f>
        <v>0</v>
      </c>
    </row>
    <row r="176" spans="1:6" x14ac:dyDescent="0.3">
      <c r="A176" s="254" t="s">
        <v>229</v>
      </c>
      <c r="B176" s="255"/>
      <c r="C176" s="255"/>
      <c r="D176" s="255"/>
      <c r="E176" s="255"/>
      <c r="F176" s="255"/>
    </row>
    <row r="177" spans="1:6" x14ac:dyDescent="0.3">
      <c r="A177" s="68" t="s">
        <v>115</v>
      </c>
      <c r="B177" s="278"/>
      <c r="C177" s="278"/>
      <c r="D177" s="278"/>
      <c r="E177" s="278"/>
      <c r="F177" s="278"/>
    </row>
    <row r="178" spans="1:6" x14ac:dyDescent="0.3">
      <c r="A178" s="68" t="s">
        <v>116</v>
      </c>
      <c r="B178" s="289"/>
      <c r="C178" s="289"/>
      <c r="D178" s="289"/>
      <c r="E178" s="289"/>
      <c r="F178" s="289"/>
    </row>
    <row r="179" spans="1:6" x14ac:dyDescent="0.3">
      <c r="A179" s="68" t="s">
        <v>117</v>
      </c>
      <c r="B179" s="258"/>
      <c r="C179" s="258"/>
      <c r="D179" s="258"/>
      <c r="E179" s="258"/>
      <c r="F179" s="258"/>
    </row>
    <row r="180" spans="1:6" x14ac:dyDescent="0.3">
      <c r="A180" s="68" t="s">
        <v>228</v>
      </c>
      <c r="B180" s="258"/>
      <c r="C180" s="258"/>
      <c r="D180" s="258"/>
      <c r="E180" s="258"/>
      <c r="F180" s="258"/>
    </row>
    <row r="181" spans="1:6" x14ac:dyDescent="0.3">
      <c r="A181" s="68" t="s">
        <v>118</v>
      </c>
      <c r="B181" s="257"/>
      <c r="C181" s="258"/>
      <c r="D181" s="258"/>
      <c r="E181" s="258"/>
      <c r="F181" s="258"/>
    </row>
    <row r="182" spans="1:6" x14ac:dyDescent="0.3">
      <c r="A182" s="68" t="s">
        <v>126</v>
      </c>
      <c r="B182" s="277"/>
      <c r="C182" s="277"/>
      <c r="D182" s="277"/>
      <c r="E182" s="277"/>
      <c r="F182" s="277"/>
    </row>
    <row r="183" spans="1:6" x14ac:dyDescent="0.3">
      <c r="A183" s="68" t="s">
        <v>127</v>
      </c>
      <c r="B183" s="277"/>
      <c r="C183" s="277"/>
      <c r="D183" s="277"/>
      <c r="E183" s="277"/>
      <c r="F183" s="277"/>
    </row>
    <row r="184" spans="1:6" x14ac:dyDescent="0.3">
      <c r="A184" s="68" t="s">
        <v>119</v>
      </c>
      <c r="B184" s="277"/>
      <c r="C184" s="277"/>
      <c r="D184" s="277"/>
      <c r="E184" s="277"/>
      <c r="F184" s="277"/>
    </row>
    <row r="185" spans="1:6" x14ac:dyDescent="0.3">
      <c r="A185" s="290" t="s">
        <v>120</v>
      </c>
      <c r="B185" s="286"/>
      <c r="C185" s="287"/>
      <c r="D185" s="287"/>
      <c r="E185" s="287"/>
      <c r="F185" s="288"/>
    </row>
    <row r="186" spans="1:6" x14ac:dyDescent="0.3">
      <c r="A186" s="291"/>
      <c r="B186" s="240"/>
      <c r="C186" s="241"/>
      <c r="D186" s="241"/>
      <c r="E186" s="241"/>
      <c r="F186" s="242"/>
    </row>
    <row r="187" spans="1:6" x14ac:dyDescent="0.3">
      <c r="A187" s="291"/>
      <c r="B187" s="240"/>
      <c r="C187" s="241"/>
      <c r="D187" s="241"/>
      <c r="E187" s="241"/>
      <c r="F187" s="242"/>
    </row>
    <row r="188" spans="1:6" x14ac:dyDescent="0.3">
      <c r="A188" s="291"/>
      <c r="B188" s="240"/>
      <c r="C188" s="241"/>
      <c r="D188" s="241"/>
      <c r="E188" s="241"/>
      <c r="F188" s="242"/>
    </row>
    <row r="189" spans="1:6" x14ac:dyDescent="0.3">
      <c r="A189" s="291"/>
      <c r="B189" s="240"/>
      <c r="C189" s="241"/>
      <c r="D189" s="241"/>
      <c r="E189" s="241"/>
      <c r="F189" s="242"/>
    </row>
    <row r="190" spans="1:6" x14ac:dyDescent="0.3">
      <c r="A190" s="291"/>
      <c r="B190" s="240"/>
      <c r="C190" s="241"/>
      <c r="D190" s="241"/>
      <c r="E190" s="241"/>
      <c r="F190" s="242"/>
    </row>
    <row r="191" spans="1:6" x14ac:dyDescent="0.3">
      <c r="A191" s="291"/>
      <c r="B191" s="240"/>
      <c r="C191" s="241"/>
      <c r="D191" s="241"/>
      <c r="E191" s="241"/>
      <c r="F191" s="242"/>
    </row>
    <row r="192" spans="1:6" x14ac:dyDescent="0.3">
      <c r="A192" s="291"/>
      <c r="B192" s="240"/>
      <c r="C192" s="241"/>
      <c r="D192" s="241"/>
      <c r="E192" s="241"/>
      <c r="F192" s="242"/>
    </row>
    <row r="193" spans="1:6" x14ac:dyDescent="0.3">
      <c r="A193" s="292"/>
      <c r="B193" s="285"/>
      <c r="C193" s="285"/>
      <c r="D193" s="285"/>
      <c r="E193" s="285"/>
      <c r="F193" s="285"/>
    </row>
    <row r="194" spans="1:6" x14ac:dyDescent="0.3">
      <c r="A194" s="73" t="s">
        <v>121</v>
      </c>
      <c r="B194" s="249" t="s">
        <v>230</v>
      </c>
      <c r="C194" s="249"/>
      <c r="D194" s="18"/>
      <c r="E194" s="283"/>
      <c r="F194" s="284"/>
    </row>
    <row r="195" spans="1:6" x14ac:dyDescent="0.3">
      <c r="A195" s="68" t="s">
        <v>231</v>
      </c>
      <c r="B195" s="243"/>
      <c r="C195" s="244"/>
      <c r="D195" s="244"/>
      <c r="E195" s="244"/>
      <c r="F195" s="245"/>
    </row>
    <row r="196" spans="1:6" x14ac:dyDescent="0.3">
      <c r="A196" s="73" t="s">
        <v>122</v>
      </c>
      <c r="B196" s="249" t="s">
        <v>230</v>
      </c>
      <c r="C196" s="249"/>
      <c r="D196" s="18"/>
      <c r="E196" s="283"/>
      <c r="F196" s="284"/>
    </row>
    <row r="197" spans="1:6" x14ac:dyDescent="0.3">
      <c r="A197" s="75" t="s">
        <v>232</v>
      </c>
      <c r="B197" s="243"/>
      <c r="C197" s="244"/>
      <c r="D197" s="244"/>
      <c r="E197" s="244"/>
      <c r="F197" s="245"/>
    </row>
    <row r="198" spans="1:6" x14ac:dyDescent="0.3">
      <c r="A198" s="73" t="s">
        <v>123</v>
      </c>
      <c r="B198" s="249" t="s">
        <v>230</v>
      </c>
      <c r="C198" s="249"/>
      <c r="D198" s="18"/>
      <c r="E198" s="283"/>
      <c r="F198" s="284"/>
    </row>
    <row r="199" spans="1:6" x14ac:dyDescent="0.3">
      <c r="A199" s="75" t="s">
        <v>233</v>
      </c>
      <c r="B199" s="243"/>
      <c r="C199" s="244"/>
      <c r="D199" s="244"/>
      <c r="E199" s="244"/>
      <c r="F199" s="245"/>
    </row>
    <row r="200" spans="1:6" x14ac:dyDescent="0.3">
      <c r="A200" s="73" t="s">
        <v>124</v>
      </c>
      <c r="B200" s="249" t="s">
        <v>230</v>
      </c>
      <c r="C200" s="249"/>
      <c r="D200" s="18"/>
      <c r="E200" s="283"/>
      <c r="F200" s="284"/>
    </row>
    <row r="201" spans="1:6" x14ac:dyDescent="0.3">
      <c r="A201" s="75" t="s">
        <v>234</v>
      </c>
      <c r="B201" s="243"/>
      <c r="C201" s="244"/>
      <c r="D201" s="244"/>
      <c r="E201" s="244"/>
      <c r="F201" s="245"/>
    </row>
    <row r="202" spans="1:6" x14ac:dyDescent="0.3">
      <c r="A202" s="73" t="s">
        <v>125</v>
      </c>
      <c r="B202" s="76" t="s">
        <v>119</v>
      </c>
      <c r="C202" s="20" t="s">
        <v>128</v>
      </c>
      <c r="D202" s="246"/>
      <c r="E202" s="247"/>
      <c r="F202" s="248"/>
    </row>
    <row r="203" spans="1:6" x14ac:dyDescent="0.3">
      <c r="A203" s="75" t="s">
        <v>235</v>
      </c>
      <c r="B203" s="243"/>
      <c r="C203" s="244"/>
      <c r="D203" s="244"/>
      <c r="E203" s="244"/>
      <c r="F203" s="245"/>
    </row>
    <row r="204" spans="1:6" x14ac:dyDescent="0.3">
      <c r="A204" s="72" t="s">
        <v>129</v>
      </c>
      <c r="B204" s="279"/>
      <c r="C204" s="280"/>
      <c r="D204" s="280"/>
      <c r="E204" s="280"/>
      <c r="F204" s="281"/>
    </row>
    <row r="205" spans="1:6" x14ac:dyDescent="0.3">
      <c r="A205" s="72" t="s">
        <v>130</v>
      </c>
      <c r="B205" s="279"/>
      <c r="C205" s="280"/>
      <c r="D205" s="280"/>
      <c r="E205" s="280"/>
      <c r="F205" s="281"/>
    </row>
    <row r="206" spans="1:6" x14ac:dyDescent="0.3">
      <c r="A206" s="77" t="s">
        <v>131</v>
      </c>
      <c r="B206" s="279"/>
      <c r="C206" s="280"/>
      <c r="D206" s="280"/>
      <c r="E206" s="280"/>
      <c r="F206" s="281"/>
    </row>
    <row r="207" spans="1:6" ht="15.75" customHeight="1" thickBot="1" x14ac:dyDescent="0.35"/>
    <row r="208" spans="1:6" ht="20.100000000000001" customHeight="1" thickTop="1" thickBot="1" x14ac:dyDescent="0.35">
      <c r="A208" s="301" t="s">
        <v>212</v>
      </c>
      <c r="B208" s="301"/>
      <c r="C208" s="301"/>
      <c r="D208" s="301"/>
      <c r="E208" s="301"/>
      <c r="F208" s="301"/>
    </row>
    <row r="209" spans="1:7" ht="55.5" customHeight="1" thickTop="1" x14ac:dyDescent="0.3">
      <c r="A209" s="302"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303"/>
      <c r="C209" s="304"/>
      <c r="D209" s="293" t="str">
        <f>'Lookup Lists'!$E$2</f>
        <v>Greenhouse and growth chamber fees are available only for Rosen Center; RIRE, Stuttgart; and Lonoke Ag Center (Greenhouse only). Quarantine is available only at Rosen Center. The minimum increment for Months is one-half units (e.g., 0.5, 1.0, 1.5, etc). Research space needed (sq ft) should be entered as a whole number. Total Fees are calculated below.</v>
      </c>
      <c r="E209" s="294"/>
      <c r="F209" s="295"/>
    </row>
    <row r="210" spans="1:7" ht="18.75" customHeight="1" x14ac:dyDescent="0.3">
      <c r="A210" s="231" t="s">
        <v>208</v>
      </c>
      <c r="B210" s="231"/>
      <c r="C210" s="231"/>
      <c r="D210" s="254" t="s">
        <v>456</v>
      </c>
      <c r="E210" s="255"/>
      <c r="F210" s="256"/>
    </row>
    <row r="211" spans="1:7" x14ac:dyDescent="0.3">
      <c r="A211" s="58" t="s">
        <v>182</v>
      </c>
      <c r="B211" s="222"/>
      <c r="C211" s="222"/>
      <c r="D211" s="73" t="s">
        <v>455</v>
      </c>
      <c r="E211" s="73" t="s">
        <v>451</v>
      </c>
      <c r="F211" s="73" t="s">
        <v>452</v>
      </c>
    </row>
    <row r="212" spans="1:7" x14ac:dyDescent="0.3">
      <c r="A212" s="58" t="s">
        <v>201</v>
      </c>
      <c r="B212" s="222"/>
      <c r="C212" s="222"/>
      <c r="D212" s="73" t="s">
        <v>448</v>
      </c>
      <c r="E212" s="156"/>
      <c r="F212" s="157"/>
      <c r="G212" s="113" t="str">
        <f>IF(AND(E212+F212&gt;0,$B$211&lt;&gt;"RIRE, Stuttgart",$B$211&lt;&gt;"Rosen Center",$B$211&lt;&gt;"Lonoke Ag Center"),"* Error - facility not available at selected Research Station","")</f>
        <v/>
      </c>
    </row>
    <row r="213" spans="1:7" x14ac:dyDescent="0.3">
      <c r="A213" s="58" t="s">
        <v>183</v>
      </c>
      <c r="B213" s="260"/>
      <c r="C213" s="260"/>
      <c r="D213" s="73" t="s">
        <v>449</v>
      </c>
      <c r="E213" s="156"/>
      <c r="F213" s="158"/>
      <c r="G213" s="113" t="str">
        <f>IF(AND(E213+F213&gt;0,$B$211&lt;&gt;"RIRE, Stuttgart",$B$211&lt;&gt;"Rosen Center"),"* Error - facility not available at selected Research Station","")</f>
        <v/>
      </c>
    </row>
    <row r="214" spans="1:7" x14ac:dyDescent="0.3">
      <c r="A214" s="58" t="s">
        <v>184</v>
      </c>
      <c r="B214" s="260"/>
      <c r="C214" s="260"/>
      <c r="D214" s="73" t="s">
        <v>450</v>
      </c>
      <c r="E214" s="156"/>
      <c r="F214" s="158"/>
      <c r="G214" s="113" t="str">
        <f>IF(AND(E214+F214&gt;0,$B$211&lt;&gt;"Rosen Center"),"* Error - facility not available at selected Research Station","")</f>
        <v/>
      </c>
    </row>
    <row r="215" spans="1:7" ht="15.75" customHeight="1" x14ac:dyDescent="0.3">
      <c r="A215" s="58" t="s">
        <v>185</v>
      </c>
      <c r="B215" s="260"/>
      <c r="C215" s="260"/>
      <c r="D215" s="263" t="str">
        <f>IF(OR(G212="* Error - facility not available at selected Research Station",G213="* Error - facility not available at selected Research Station",G214="* Error - facility not available at selected Research Station"),"See error message(s)","")</f>
        <v/>
      </c>
      <c r="E215" s="272"/>
      <c r="F215" s="273"/>
    </row>
    <row r="216" spans="1:7" x14ac:dyDescent="0.3">
      <c r="A216" s="58" t="s">
        <v>186</v>
      </c>
      <c r="B216" s="260"/>
      <c r="C216" s="260"/>
      <c r="D216" s="274"/>
      <c r="E216" s="275"/>
      <c r="F216" s="276"/>
    </row>
    <row r="217" spans="1:7" ht="75.75" customHeight="1" x14ac:dyDescent="0.3">
      <c r="A217" s="282" t="s">
        <v>336</v>
      </c>
      <c r="B217" s="282"/>
      <c r="C217" s="282"/>
      <c r="D217" s="282"/>
      <c r="E217" s="282"/>
      <c r="F217" s="282"/>
    </row>
    <row r="218" spans="1:7" ht="31.2" x14ac:dyDescent="0.3">
      <c r="A218" s="29" t="s">
        <v>11</v>
      </c>
      <c r="B218" s="29" t="s">
        <v>114</v>
      </c>
      <c r="C218" s="159" t="s">
        <v>141</v>
      </c>
      <c r="D218" s="29" t="s">
        <v>132</v>
      </c>
    </row>
    <row r="219" spans="1:7" x14ac:dyDescent="0.3">
      <c r="A219" s="23" t="s">
        <v>113</v>
      </c>
      <c r="B219" s="7" t="e">
        <f>IF(OR(B211="Rosen Center",B211="Lonoke Ag Center"),0,IF(B211&lt;&gt;"RIRE, Stuttgart",HLOOKUP(B212,Fixed_Rate_Optional,2,FALSE)*B213,100*B213))</f>
        <v>#N/A</v>
      </c>
      <c r="C219" s="13" t="s">
        <v>112</v>
      </c>
      <c r="D219" s="119" t="e">
        <f t="shared" ref="D219" si="15">IF(C219="Yes",B219,0)</f>
        <v>#N/A</v>
      </c>
    </row>
    <row r="220" spans="1:7" x14ac:dyDescent="0.3">
      <c r="A220" s="28" t="s">
        <v>140</v>
      </c>
      <c r="B220" s="24"/>
      <c r="C220" s="24"/>
      <c r="D220" s="25"/>
    </row>
    <row r="221" spans="1:7" x14ac:dyDescent="0.3">
      <c r="A221" s="23" t="s">
        <v>5</v>
      </c>
      <c r="B221" s="12" t="e">
        <f t="shared" ref="B221:B229" si="16">IF(OR($B$211="Rosen Center",$B$211="Lonoke Ag Center"),0,INDEX(Fixed_Rate_Optional,MATCH(A221,Expense_Item,0),MATCH($B$212,Commodity_Item,0))*$B$213)</f>
        <v>#N/A</v>
      </c>
      <c r="C221" s="27"/>
      <c r="D221" s="7">
        <f t="shared" ref="D221:D230" si="17">IF(C221="Yes",B221,0)</f>
        <v>0</v>
      </c>
    </row>
    <row r="222" spans="1:7" x14ac:dyDescent="0.3">
      <c r="A222" s="23" t="s">
        <v>6</v>
      </c>
      <c r="B222" s="12" t="e">
        <f t="shared" si="16"/>
        <v>#N/A</v>
      </c>
      <c r="C222" s="27"/>
      <c r="D222" s="7">
        <f t="shared" si="17"/>
        <v>0</v>
      </c>
    </row>
    <row r="223" spans="1:7" x14ac:dyDescent="0.3">
      <c r="A223" s="23" t="s">
        <v>7</v>
      </c>
      <c r="B223" s="12" t="e">
        <f t="shared" si="16"/>
        <v>#N/A</v>
      </c>
      <c r="C223" s="27"/>
      <c r="D223" s="7">
        <f t="shared" si="17"/>
        <v>0</v>
      </c>
    </row>
    <row r="224" spans="1:7" x14ac:dyDescent="0.3">
      <c r="A224" s="23" t="s">
        <v>8</v>
      </c>
      <c r="B224" s="12" t="e">
        <f t="shared" si="16"/>
        <v>#N/A</v>
      </c>
      <c r="C224" s="27"/>
      <c r="D224" s="7">
        <f t="shared" si="17"/>
        <v>0</v>
      </c>
    </row>
    <row r="225" spans="1:5" x14ac:dyDescent="0.3">
      <c r="A225" s="23" t="s">
        <v>9</v>
      </c>
      <c r="B225" s="12" t="e">
        <f t="shared" si="16"/>
        <v>#N/A</v>
      </c>
      <c r="C225" s="27"/>
      <c r="D225" s="7">
        <f t="shared" si="17"/>
        <v>0</v>
      </c>
    </row>
    <row r="226" spans="1:5" x14ac:dyDescent="0.3">
      <c r="A226" s="23" t="s">
        <v>10</v>
      </c>
      <c r="B226" s="12" t="e">
        <f t="shared" si="16"/>
        <v>#N/A</v>
      </c>
      <c r="C226" s="27"/>
      <c r="D226" s="7">
        <f t="shared" si="17"/>
        <v>0</v>
      </c>
    </row>
    <row r="227" spans="1:5" x14ac:dyDescent="0.3">
      <c r="A227" s="23" t="s">
        <v>13</v>
      </c>
      <c r="B227" s="12" t="e">
        <f t="shared" si="16"/>
        <v>#N/A</v>
      </c>
      <c r="C227" s="27"/>
      <c r="D227" s="7">
        <f t="shared" si="17"/>
        <v>0</v>
      </c>
    </row>
    <row r="228" spans="1:5" x14ac:dyDescent="0.3">
      <c r="A228" s="23" t="s">
        <v>14</v>
      </c>
      <c r="B228" s="12" t="e">
        <f t="shared" si="16"/>
        <v>#N/A</v>
      </c>
      <c r="C228" s="27"/>
      <c r="D228" s="7">
        <f t="shared" si="17"/>
        <v>0</v>
      </c>
    </row>
    <row r="229" spans="1:5" x14ac:dyDescent="0.3">
      <c r="A229" s="23" t="s">
        <v>15</v>
      </c>
      <c r="B229" s="12" t="e">
        <f t="shared" si="16"/>
        <v>#N/A</v>
      </c>
      <c r="C229" s="27"/>
      <c r="D229" s="7">
        <f t="shared" si="17"/>
        <v>0</v>
      </c>
    </row>
    <row r="230" spans="1:5" x14ac:dyDescent="0.3">
      <c r="A230" s="23" t="s">
        <v>16</v>
      </c>
      <c r="B230" s="12" t="e">
        <f>IF(OR(B211="Rosen Center",B211="Lonoke Ag Center"),0,INDEX(Fixed_Rate_Optional,MATCH(A230,Expense_Item,0),MATCH(B212,Commodity_Item,0))*B215*B216)</f>
        <v>#N/A</v>
      </c>
      <c r="C230" s="27"/>
      <c r="D230" s="7">
        <f t="shared" si="17"/>
        <v>0</v>
      </c>
    </row>
    <row r="231" spans="1:5" x14ac:dyDescent="0.3">
      <c r="A231" s="28" t="s">
        <v>133</v>
      </c>
      <c r="B231" s="298"/>
      <c r="C231" s="299"/>
      <c r="D231" s="300"/>
    </row>
    <row r="232" spans="1:5" x14ac:dyDescent="0.3">
      <c r="A232" s="23" t="s">
        <v>134</v>
      </c>
      <c r="B232" s="12" t="e">
        <f t="shared" ref="B232:B237" si="18">IF(OR($B$211="Rosen Center",$B$211="Lonoke Ag Center"),0,INDEX(Fixed_Rate_Optional,MATCH(A232,Expense_Item,0),MATCH($B$212,Commodity_Item,0))*$B$213)</f>
        <v>#N/A</v>
      </c>
      <c r="C232" s="27"/>
      <c r="D232" s="7">
        <f t="shared" ref="D232:D237" si="19">IF(C232="Yes",B232,0)</f>
        <v>0</v>
      </c>
    </row>
    <row r="233" spans="1:5" x14ac:dyDescent="0.3">
      <c r="A233" s="23" t="s">
        <v>135</v>
      </c>
      <c r="B233" s="12" t="e">
        <f t="shared" si="18"/>
        <v>#N/A</v>
      </c>
      <c r="C233" s="27"/>
      <c r="D233" s="7">
        <f t="shared" si="19"/>
        <v>0</v>
      </c>
    </row>
    <row r="234" spans="1:5" x14ac:dyDescent="0.3">
      <c r="A234" s="23" t="s">
        <v>136</v>
      </c>
      <c r="B234" s="12" t="e">
        <f t="shared" si="18"/>
        <v>#N/A</v>
      </c>
      <c r="C234" s="27"/>
      <c r="D234" s="7">
        <f t="shared" si="19"/>
        <v>0</v>
      </c>
    </row>
    <row r="235" spans="1:5" x14ac:dyDescent="0.3">
      <c r="A235" s="23" t="s">
        <v>137</v>
      </c>
      <c r="B235" s="12" t="e">
        <f t="shared" si="18"/>
        <v>#N/A</v>
      </c>
      <c r="C235" s="27"/>
      <c r="D235" s="7">
        <f t="shared" si="19"/>
        <v>0</v>
      </c>
    </row>
    <row r="236" spans="1:5" x14ac:dyDescent="0.3">
      <c r="A236" s="23" t="s">
        <v>138</v>
      </c>
      <c r="B236" s="12" t="e">
        <f t="shared" si="18"/>
        <v>#N/A</v>
      </c>
      <c r="C236" s="27"/>
      <c r="D236" s="7">
        <f t="shared" si="19"/>
        <v>0</v>
      </c>
    </row>
    <row r="237" spans="1:5" x14ac:dyDescent="0.3">
      <c r="A237" s="23" t="s">
        <v>139</v>
      </c>
      <c r="B237" s="12" t="e">
        <f t="shared" si="18"/>
        <v>#N/A</v>
      </c>
      <c r="C237" s="27"/>
      <c r="D237" s="7">
        <f t="shared" si="19"/>
        <v>0</v>
      </c>
    </row>
    <row r="238" spans="1:5" x14ac:dyDescent="0.3">
      <c r="A238" s="28" t="str">
        <f>B211&amp;" Total"</f>
        <v xml:space="preserve"> Total</v>
      </c>
      <c r="B238" s="121"/>
      <c r="C238" s="20"/>
      <c r="D238" s="26" t="e">
        <f>SUM(D219,D221:D230,D232:D237)</f>
        <v>#N/A</v>
      </c>
    </row>
    <row r="239" spans="1:5" ht="15.75" customHeight="1" x14ac:dyDescent="0.3">
      <c r="A239" s="28" t="s">
        <v>460</v>
      </c>
      <c r="B239" s="29" t="s">
        <v>464</v>
      </c>
      <c r="C239" s="29" t="s">
        <v>466</v>
      </c>
      <c r="D239" s="29" t="s">
        <v>465</v>
      </c>
      <c r="E239" s="29" t="s">
        <v>111</v>
      </c>
    </row>
    <row r="240" spans="1:5" x14ac:dyDescent="0.3">
      <c r="A240" s="68" t="s">
        <v>457</v>
      </c>
      <c r="B240" s="132">
        <f>Greenhouse_Rate</f>
        <v>1</v>
      </c>
      <c r="C240" s="137">
        <f>IF(OR(B211="Lonoke Ag Center",B211="RIRE, Stuttgart",B211="Rosen Center"),E212,0)</f>
        <v>0</v>
      </c>
      <c r="D240" s="136">
        <f>IF(OR(B211="Lonoke Ag Center",B211="RIRE, Stuttgart",B211="Rosen Center"),F212,0)</f>
        <v>0</v>
      </c>
      <c r="E240" s="135">
        <f>C240*D240*B240</f>
        <v>0</v>
      </c>
    </row>
    <row r="241" spans="1:6" x14ac:dyDescent="0.3">
      <c r="A241" s="68" t="s">
        <v>458</v>
      </c>
      <c r="B241" s="132">
        <f>Growth_Chamber_Rate</f>
        <v>6.8</v>
      </c>
      <c r="C241" s="137">
        <f>IF(OR(B211="RIRE, Stuttgart",B211="Rosen Center"),E213,0)</f>
        <v>0</v>
      </c>
      <c r="D241" s="136">
        <f>IF(OR(B211="RIRE, Stuttgart",B211="Rosen Center"),F213,0)</f>
        <v>0</v>
      </c>
      <c r="E241" s="135">
        <f>C241*D241*B241</f>
        <v>0</v>
      </c>
    </row>
    <row r="242" spans="1:6" x14ac:dyDescent="0.3">
      <c r="A242" s="68" t="s">
        <v>459</v>
      </c>
      <c r="B242" s="132">
        <f>Quarantine_Rate</f>
        <v>1.1000000000000001</v>
      </c>
      <c r="C242" s="137">
        <f>IF(B211="Rosen Center",E214,0)</f>
        <v>0</v>
      </c>
      <c r="D242" s="136">
        <f>IF(B211="Rosen Center",F214,0)</f>
        <v>0</v>
      </c>
      <c r="E242" s="135">
        <f>C242*D242*B242</f>
        <v>0</v>
      </c>
    </row>
    <row r="243" spans="1:6" x14ac:dyDescent="0.3">
      <c r="A243" s="130" t="s">
        <v>111</v>
      </c>
      <c r="B243" s="144"/>
      <c r="C243" s="137">
        <f>SUM(C240:C242)</f>
        <v>0</v>
      </c>
      <c r="D243" s="136">
        <f>SUM(D240:D242)</f>
        <v>0</v>
      </c>
      <c r="E243" s="26">
        <f t="shared" ref="E243" si="20">SUM(E240:E242)</f>
        <v>0</v>
      </c>
    </row>
    <row r="244" spans="1:6" x14ac:dyDescent="0.3">
      <c r="A244" s="254" t="s">
        <v>229</v>
      </c>
      <c r="B244" s="255"/>
      <c r="C244" s="255"/>
      <c r="D244" s="255"/>
      <c r="E244" s="255"/>
      <c r="F244" s="255"/>
    </row>
    <row r="245" spans="1:6" x14ac:dyDescent="0.3">
      <c r="A245" s="68" t="s">
        <v>115</v>
      </c>
      <c r="B245" s="278"/>
      <c r="C245" s="278"/>
      <c r="D245" s="278"/>
      <c r="E245" s="278"/>
      <c r="F245" s="278"/>
    </row>
    <row r="246" spans="1:6" x14ac:dyDescent="0.3">
      <c r="A246" s="68" t="s">
        <v>116</v>
      </c>
      <c r="B246" s="289"/>
      <c r="C246" s="289"/>
      <c r="D246" s="289"/>
      <c r="E246" s="289"/>
      <c r="F246" s="289"/>
    </row>
    <row r="247" spans="1:6" x14ac:dyDescent="0.3">
      <c r="A247" s="68" t="s">
        <v>117</v>
      </c>
      <c r="B247" s="258"/>
      <c r="C247" s="258"/>
      <c r="D247" s="258"/>
      <c r="E247" s="258"/>
      <c r="F247" s="258"/>
    </row>
    <row r="248" spans="1:6" x14ac:dyDescent="0.3">
      <c r="A248" s="68" t="s">
        <v>228</v>
      </c>
      <c r="B248" s="258"/>
      <c r="C248" s="258"/>
      <c r="D248" s="258"/>
      <c r="E248" s="258"/>
      <c r="F248" s="258"/>
    </row>
    <row r="249" spans="1:6" x14ac:dyDescent="0.3">
      <c r="A249" s="68" t="s">
        <v>118</v>
      </c>
      <c r="B249" s="257"/>
      <c r="C249" s="258"/>
      <c r="D249" s="258"/>
      <c r="E249" s="258"/>
      <c r="F249" s="258"/>
    </row>
    <row r="250" spans="1:6" x14ac:dyDescent="0.3">
      <c r="A250" s="68" t="s">
        <v>126</v>
      </c>
      <c r="B250" s="277"/>
      <c r="C250" s="277"/>
      <c r="D250" s="277"/>
      <c r="E250" s="277"/>
      <c r="F250" s="277"/>
    </row>
    <row r="251" spans="1:6" x14ac:dyDescent="0.3">
      <c r="A251" s="68" t="s">
        <v>127</v>
      </c>
      <c r="B251" s="277"/>
      <c r="C251" s="277"/>
      <c r="D251" s="277"/>
      <c r="E251" s="277"/>
      <c r="F251" s="277"/>
    </row>
    <row r="252" spans="1:6" x14ac:dyDescent="0.3">
      <c r="A252" s="68" t="s">
        <v>119</v>
      </c>
      <c r="B252" s="277"/>
      <c r="C252" s="277"/>
      <c r="D252" s="277"/>
      <c r="E252" s="277"/>
      <c r="F252" s="277"/>
    </row>
    <row r="253" spans="1:6" x14ac:dyDescent="0.3">
      <c r="A253" s="290" t="s">
        <v>120</v>
      </c>
      <c r="B253" s="286"/>
      <c r="C253" s="287"/>
      <c r="D253" s="287"/>
      <c r="E253" s="287"/>
      <c r="F253" s="288"/>
    </row>
    <row r="254" spans="1:6" x14ac:dyDescent="0.3">
      <c r="A254" s="291"/>
      <c r="B254" s="240"/>
      <c r="C254" s="241"/>
      <c r="D254" s="241"/>
      <c r="E254" s="241"/>
      <c r="F254" s="242"/>
    </row>
    <row r="255" spans="1:6" x14ac:dyDescent="0.3">
      <c r="A255" s="291"/>
      <c r="B255" s="240"/>
      <c r="C255" s="241"/>
      <c r="D255" s="241"/>
      <c r="E255" s="241"/>
      <c r="F255" s="242"/>
    </row>
    <row r="256" spans="1:6" x14ac:dyDescent="0.3">
      <c r="A256" s="291"/>
      <c r="B256" s="240"/>
      <c r="C256" s="241"/>
      <c r="D256" s="241"/>
      <c r="E256" s="241"/>
      <c r="F256" s="242"/>
    </row>
    <row r="257" spans="1:6" x14ac:dyDescent="0.3">
      <c r="A257" s="291"/>
      <c r="B257" s="240"/>
      <c r="C257" s="241"/>
      <c r="D257" s="241"/>
      <c r="E257" s="241"/>
      <c r="F257" s="242"/>
    </row>
    <row r="258" spans="1:6" x14ac:dyDescent="0.3">
      <c r="A258" s="291"/>
      <c r="B258" s="240"/>
      <c r="C258" s="241"/>
      <c r="D258" s="241"/>
      <c r="E258" s="241"/>
      <c r="F258" s="242"/>
    </row>
    <row r="259" spans="1:6" x14ac:dyDescent="0.3">
      <c r="A259" s="291"/>
      <c r="B259" s="240"/>
      <c r="C259" s="241"/>
      <c r="D259" s="241"/>
      <c r="E259" s="241"/>
      <c r="F259" s="242"/>
    </row>
    <row r="260" spans="1:6" x14ac:dyDescent="0.3">
      <c r="A260" s="291"/>
      <c r="B260" s="240"/>
      <c r="C260" s="241"/>
      <c r="D260" s="241"/>
      <c r="E260" s="241"/>
      <c r="F260" s="242"/>
    </row>
    <row r="261" spans="1:6" x14ac:dyDescent="0.3">
      <c r="A261" s="292"/>
      <c r="B261" s="285"/>
      <c r="C261" s="285"/>
      <c r="D261" s="285"/>
      <c r="E261" s="285"/>
      <c r="F261" s="285"/>
    </row>
    <row r="262" spans="1:6" x14ac:dyDescent="0.3">
      <c r="A262" s="73" t="s">
        <v>121</v>
      </c>
      <c r="B262" s="249" t="s">
        <v>230</v>
      </c>
      <c r="C262" s="249"/>
      <c r="D262" s="18"/>
      <c r="E262" s="283"/>
      <c r="F262" s="284"/>
    </row>
    <row r="263" spans="1:6" x14ac:dyDescent="0.3">
      <c r="A263" s="68" t="s">
        <v>231</v>
      </c>
      <c r="B263" s="243"/>
      <c r="C263" s="244"/>
      <c r="D263" s="244"/>
      <c r="E263" s="244"/>
      <c r="F263" s="245"/>
    </row>
    <row r="264" spans="1:6" x14ac:dyDescent="0.3">
      <c r="A264" s="73" t="s">
        <v>122</v>
      </c>
      <c r="B264" s="249" t="s">
        <v>230</v>
      </c>
      <c r="C264" s="249"/>
      <c r="D264" s="18"/>
      <c r="E264" s="283"/>
      <c r="F264" s="284"/>
    </row>
    <row r="265" spans="1:6" x14ac:dyDescent="0.3">
      <c r="A265" s="75" t="s">
        <v>232</v>
      </c>
      <c r="B265" s="243"/>
      <c r="C265" s="244"/>
      <c r="D265" s="244"/>
      <c r="E265" s="244"/>
      <c r="F265" s="245"/>
    </row>
    <row r="266" spans="1:6" x14ac:dyDescent="0.3">
      <c r="A266" s="73" t="s">
        <v>123</v>
      </c>
      <c r="B266" s="249" t="s">
        <v>230</v>
      </c>
      <c r="C266" s="249"/>
      <c r="D266" s="18"/>
      <c r="E266" s="283"/>
      <c r="F266" s="284"/>
    </row>
    <row r="267" spans="1:6" x14ac:dyDescent="0.3">
      <c r="A267" s="75" t="s">
        <v>233</v>
      </c>
      <c r="B267" s="243"/>
      <c r="C267" s="244"/>
      <c r="D267" s="244"/>
      <c r="E267" s="244"/>
      <c r="F267" s="245"/>
    </row>
    <row r="268" spans="1:6" x14ac:dyDescent="0.3">
      <c r="A268" s="73" t="s">
        <v>124</v>
      </c>
      <c r="B268" s="249" t="s">
        <v>230</v>
      </c>
      <c r="C268" s="249"/>
      <c r="D268" s="18"/>
      <c r="E268" s="283"/>
      <c r="F268" s="284"/>
    </row>
    <row r="269" spans="1:6" x14ac:dyDescent="0.3">
      <c r="A269" s="75" t="s">
        <v>234</v>
      </c>
      <c r="B269" s="243"/>
      <c r="C269" s="244"/>
      <c r="D269" s="244"/>
      <c r="E269" s="244"/>
      <c r="F269" s="245"/>
    </row>
    <row r="270" spans="1:6" x14ac:dyDescent="0.3">
      <c r="A270" s="73" t="s">
        <v>125</v>
      </c>
      <c r="B270" s="76" t="s">
        <v>119</v>
      </c>
      <c r="C270" s="20" t="s">
        <v>128</v>
      </c>
      <c r="D270" s="246"/>
      <c r="E270" s="247"/>
      <c r="F270" s="248"/>
    </row>
    <row r="271" spans="1:6" x14ac:dyDescent="0.3">
      <c r="A271" s="75" t="s">
        <v>235</v>
      </c>
      <c r="B271" s="243"/>
      <c r="C271" s="244"/>
      <c r="D271" s="244"/>
      <c r="E271" s="244"/>
      <c r="F271" s="245"/>
    </row>
    <row r="272" spans="1:6" x14ac:dyDescent="0.3">
      <c r="A272" s="72" t="s">
        <v>129</v>
      </c>
      <c r="B272" s="279"/>
      <c r="C272" s="280"/>
      <c r="D272" s="280"/>
      <c r="E272" s="280"/>
      <c r="F272" s="281"/>
    </row>
    <row r="273" spans="1:6" x14ac:dyDescent="0.3">
      <c r="A273" s="72" t="s">
        <v>130</v>
      </c>
      <c r="B273" s="279"/>
      <c r="C273" s="280"/>
      <c r="D273" s="280"/>
      <c r="E273" s="280"/>
      <c r="F273" s="281"/>
    </row>
    <row r="274" spans="1:6" x14ac:dyDescent="0.3">
      <c r="A274" s="77" t="s">
        <v>131</v>
      </c>
      <c r="B274" s="279"/>
      <c r="C274" s="280"/>
      <c r="D274" s="280"/>
      <c r="E274" s="280"/>
      <c r="F274" s="281"/>
    </row>
    <row r="275" spans="1:6" ht="15.75" customHeight="1" x14ac:dyDescent="0.3"/>
    <row r="276" spans="1:6" x14ac:dyDescent="0.3">
      <c r="A276" s="79" t="s">
        <v>227</v>
      </c>
      <c r="B276" s="29" t="s">
        <v>223</v>
      </c>
      <c r="C276" s="29" t="s">
        <v>224</v>
      </c>
      <c r="D276" s="29" t="s">
        <v>225</v>
      </c>
      <c r="E276" s="29" t="s">
        <v>226</v>
      </c>
      <c r="F276" s="29" t="s">
        <v>111</v>
      </c>
    </row>
    <row r="277" spans="1:6" x14ac:dyDescent="0.3">
      <c r="A277" s="68" t="s">
        <v>169</v>
      </c>
      <c r="B277" s="7">
        <f>IF($B$7=A277,$D$34,0)</f>
        <v>0</v>
      </c>
      <c r="C277" s="7">
        <f>IF($B$75=A277,$D$102,0)</f>
        <v>0</v>
      </c>
      <c r="D277" s="7">
        <f>IF($B$143=A277,$D$170,0)</f>
        <v>0</v>
      </c>
      <c r="E277" s="7">
        <f>IF($B$211=A277,$D$238,0)</f>
        <v>0</v>
      </c>
      <c r="F277" s="7">
        <f t="shared" ref="F277:F287" si="21">SUM(B277:E277)</f>
        <v>0</v>
      </c>
    </row>
    <row r="278" spans="1:6" x14ac:dyDescent="0.3">
      <c r="A278" s="68" t="s">
        <v>170</v>
      </c>
      <c r="B278" s="7">
        <f>IF($B$7=A278,$D$34,0)</f>
        <v>0</v>
      </c>
      <c r="C278" s="7">
        <f>IF($B$75=A278,$D$102,0)</f>
        <v>0</v>
      </c>
      <c r="D278" s="7">
        <f>IF($B$143=A278,$D$170,0)</f>
        <v>0</v>
      </c>
      <c r="E278" s="7">
        <f>IF($B$211=A278,$D$238,0)</f>
        <v>0</v>
      </c>
      <c r="F278" s="7">
        <f t="shared" si="21"/>
        <v>0</v>
      </c>
    </row>
    <row r="279" spans="1:6" x14ac:dyDescent="0.3">
      <c r="A279" s="68" t="s">
        <v>171</v>
      </c>
      <c r="B279" s="7">
        <f>IF($B$7=A279,$D$34+$E$39,0)</f>
        <v>0</v>
      </c>
      <c r="C279" s="7">
        <f t="shared" ref="C279" si="22">IF($B$75=A279,$D$102+$E$107,0)</f>
        <v>0</v>
      </c>
      <c r="D279" s="7">
        <f t="shared" ref="D279" si="23">IF($B$143=A279,$D$170+$E$175,0)</f>
        <v>0</v>
      </c>
      <c r="E279" s="7">
        <f t="shared" ref="E279" si="24">IF($B$211=A279,$D$238+$E$243,0)</f>
        <v>0</v>
      </c>
      <c r="F279" s="7">
        <f t="shared" si="21"/>
        <v>0</v>
      </c>
    </row>
    <row r="280" spans="1:6" x14ac:dyDescent="0.3">
      <c r="A280" s="68" t="s">
        <v>172</v>
      </c>
      <c r="B280" s="7">
        <f>IF($B$7=A280,$D$34,0)</f>
        <v>0</v>
      </c>
      <c r="C280" s="7">
        <f>IF($B$75=A280,$D$102,0)</f>
        <v>0</v>
      </c>
      <c r="D280" s="7">
        <f>IF($B$143=A280,$D$170,0)</f>
        <v>0</v>
      </c>
      <c r="E280" s="7">
        <f>IF($B$211=A280,$D$238,0)</f>
        <v>0</v>
      </c>
      <c r="F280" s="7">
        <f t="shared" si="21"/>
        <v>0</v>
      </c>
    </row>
    <row r="281" spans="1:6" x14ac:dyDescent="0.3">
      <c r="A281" s="68" t="s">
        <v>173</v>
      </c>
      <c r="B281" s="7">
        <f>IF($B$7=A281,$D$34,0)</f>
        <v>0</v>
      </c>
      <c r="C281" s="7">
        <f>IF($B$75=A281,$D$102,0)</f>
        <v>0</v>
      </c>
      <c r="D281" s="7">
        <f>IF($B$143=A281,$D$170,0)</f>
        <v>0</v>
      </c>
      <c r="E281" s="7">
        <f>IF($B$211=A281,$D$238,0)</f>
        <v>0</v>
      </c>
      <c r="F281" s="7">
        <f t="shared" si="21"/>
        <v>0</v>
      </c>
    </row>
    <row r="282" spans="1:6" x14ac:dyDescent="0.3">
      <c r="A282" s="68" t="s">
        <v>174</v>
      </c>
      <c r="B282" s="7">
        <f>IF($B$7=A282,$D$34,0)</f>
        <v>0</v>
      </c>
      <c r="C282" s="7">
        <f>IF($B$75=A282,$D$102,0)</f>
        <v>0</v>
      </c>
      <c r="D282" s="7">
        <f>IF($B$143=A282,$D$170,0)</f>
        <v>0</v>
      </c>
      <c r="E282" s="7">
        <f>IF($B$211=A282,$D$238,0)</f>
        <v>0</v>
      </c>
      <c r="F282" s="7">
        <f t="shared" si="21"/>
        <v>0</v>
      </c>
    </row>
    <row r="283" spans="1:6" x14ac:dyDescent="0.3">
      <c r="A283" s="68" t="s">
        <v>175</v>
      </c>
      <c r="B283" s="7">
        <f>IF($B$7=A283,$D$34+$E$39,0)</f>
        <v>0</v>
      </c>
      <c r="C283" s="7">
        <f>IF($B$75=A283,$D$102+$E$107,0)</f>
        <v>0</v>
      </c>
      <c r="D283" s="7">
        <f>IF($B$143=A283,$D$170+$E$175,0)</f>
        <v>0</v>
      </c>
      <c r="E283" s="7">
        <f>IF($B$211=A283,$D$238+$E$243,0)</f>
        <v>0</v>
      </c>
      <c r="F283" s="7">
        <f t="shared" si="21"/>
        <v>0</v>
      </c>
    </row>
    <row r="284" spans="1:6" x14ac:dyDescent="0.3">
      <c r="A284" s="75" t="s">
        <v>447</v>
      </c>
      <c r="B284" s="7">
        <f t="shared" ref="B284" si="25">IF($B$7=A284,$D$34+$E$39,0)</f>
        <v>0</v>
      </c>
      <c r="C284" s="7">
        <f t="shared" ref="C284" si="26">IF($B$75=A284,$D$102+$E$107,0)</f>
        <v>0</v>
      </c>
      <c r="D284" s="7">
        <f t="shared" ref="D284" si="27">IF($B$143=A284,$D$170+$E$175,0)</f>
        <v>0</v>
      </c>
      <c r="E284" s="7">
        <f t="shared" ref="E284" si="28">IF($B$211=A284,$D$238+$E$243,0)</f>
        <v>0</v>
      </c>
      <c r="F284" s="7">
        <f t="shared" ref="F284" si="29">SUM(B284:E284)</f>
        <v>0</v>
      </c>
    </row>
    <row r="285" spans="1:6" x14ac:dyDescent="0.3">
      <c r="A285" s="68" t="s">
        <v>176</v>
      </c>
      <c r="B285" s="7">
        <f>IF($B$7=A285,$D$34,0)</f>
        <v>0</v>
      </c>
      <c r="C285" s="7">
        <f>IF($B$75=A285,$D$102,0)</f>
        <v>0</v>
      </c>
      <c r="D285" s="7">
        <f>IF($B$143=A285,$D$170,0)</f>
        <v>0</v>
      </c>
      <c r="E285" s="7">
        <f>IF($B$211=A285,$D$238,0)</f>
        <v>0</v>
      </c>
      <c r="F285" s="7">
        <f t="shared" si="21"/>
        <v>0</v>
      </c>
    </row>
    <row r="286" spans="1:6" x14ac:dyDescent="0.3">
      <c r="A286" s="68" t="s">
        <v>177</v>
      </c>
      <c r="B286" s="7">
        <f>IF($B$7=A286,$D$34,0)</f>
        <v>0</v>
      </c>
      <c r="C286" s="7">
        <f>IF($B$75=A286,$D$102,0)</f>
        <v>0</v>
      </c>
      <c r="D286" s="7">
        <f>IF($B$143=A286,$D$170,0)</f>
        <v>0</v>
      </c>
      <c r="E286" s="7">
        <f>IF($B$211=A286,$D$238,0)</f>
        <v>0</v>
      </c>
      <c r="F286" s="7">
        <f t="shared" si="21"/>
        <v>0</v>
      </c>
    </row>
    <row r="287" spans="1:6" x14ac:dyDescent="0.3">
      <c r="A287" s="69" t="s">
        <v>178</v>
      </c>
      <c r="B287" s="7">
        <f>IF($B$7=A287,$D$34,0)</f>
        <v>0</v>
      </c>
      <c r="C287" s="7">
        <f>IF($B$75=A287,$D$102,0)</f>
        <v>0</v>
      </c>
      <c r="D287" s="7">
        <f>IF($B$143=A287,$D$170,0)</f>
        <v>0</v>
      </c>
      <c r="E287" s="7">
        <f>IF($B$211=A287,$D$238,0)</f>
        <v>0</v>
      </c>
      <c r="F287" s="70">
        <f t="shared" si="21"/>
        <v>0</v>
      </c>
    </row>
    <row r="288" spans="1:6" x14ac:dyDescent="0.3">
      <c r="A288" s="141" t="s">
        <v>222</v>
      </c>
      <c r="B288" s="142">
        <f>SUM(B277:B287)</f>
        <v>0</v>
      </c>
      <c r="C288" s="142">
        <f>SUM(C277:C287)</f>
        <v>0</v>
      </c>
      <c r="D288" s="142">
        <f>SUM(D277:D287)</f>
        <v>0</v>
      </c>
      <c r="E288" s="142">
        <f>SUM(E277:E287)</f>
        <v>0</v>
      </c>
      <c r="F288" s="142">
        <f>SUM(F277:F287)</f>
        <v>0</v>
      </c>
    </row>
    <row r="289" spans="3:5" x14ac:dyDescent="0.3">
      <c r="C289" s="67"/>
      <c r="D289" s="67"/>
      <c r="E289" s="67"/>
    </row>
  </sheetData>
  <sheetProtection algorithmName="SHA-512" hashValue="/A//0MJ7EnBBIkIE9A5+bnN4a2J5peo4wChKWRp0FgGeOiTjpnslxJjbFXbxwaCSfmk/3ZLoR+z7qGHALJEuhA==" saltValue="7q4YLH4qxhjluiXgCDSIIA==" spinCount="100000" sheet="1" selectLockedCells="1"/>
  <mergeCells count="204">
    <mergeCell ref="B272:F272"/>
    <mergeCell ref="B273:F273"/>
    <mergeCell ref="B274:F274"/>
    <mergeCell ref="B267:F267"/>
    <mergeCell ref="B268:C268"/>
    <mergeCell ref="E268:F268"/>
    <mergeCell ref="B269:F269"/>
    <mergeCell ref="D270:F270"/>
    <mergeCell ref="B271:F271"/>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48:F248"/>
    <mergeCell ref="B249:F249"/>
    <mergeCell ref="B250:F250"/>
    <mergeCell ref="B251:F251"/>
    <mergeCell ref="B252:F252"/>
    <mergeCell ref="A253:A261"/>
    <mergeCell ref="B253:F253"/>
    <mergeCell ref="B254:F254"/>
    <mergeCell ref="B255:F255"/>
    <mergeCell ref="B256:F256"/>
    <mergeCell ref="A217:F217"/>
    <mergeCell ref="B231:D231"/>
    <mergeCell ref="A244:F244"/>
    <mergeCell ref="B245:F245"/>
    <mergeCell ref="B246:F246"/>
    <mergeCell ref="B247:F247"/>
    <mergeCell ref="B212:C212"/>
    <mergeCell ref="B213:C213"/>
    <mergeCell ref="B214:C214"/>
    <mergeCell ref="B215:C215"/>
    <mergeCell ref="D215:F216"/>
    <mergeCell ref="B216:C216"/>
    <mergeCell ref="A208:F208"/>
    <mergeCell ref="A209:C209"/>
    <mergeCell ref="D209:F209"/>
    <mergeCell ref="A210:C210"/>
    <mergeCell ref="D210:F210"/>
    <mergeCell ref="B211:C211"/>
    <mergeCell ref="B201:F201"/>
    <mergeCell ref="D202:F202"/>
    <mergeCell ref="B203:F203"/>
    <mergeCell ref="B204:F204"/>
    <mergeCell ref="B205:F205"/>
    <mergeCell ref="B206:F206"/>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B183:F183"/>
    <mergeCell ref="B184:F184"/>
    <mergeCell ref="A185:A193"/>
    <mergeCell ref="B185:F185"/>
    <mergeCell ref="B186:F186"/>
    <mergeCell ref="B187:F187"/>
    <mergeCell ref="B188:F188"/>
    <mergeCell ref="B189:F189"/>
    <mergeCell ref="B190:F190"/>
    <mergeCell ref="B191:F191"/>
    <mergeCell ref="B177:F177"/>
    <mergeCell ref="B178:F178"/>
    <mergeCell ref="B179:F179"/>
    <mergeCell ref="B180:F180"/>
    <mergeCell ref="B181:F181"/>
    <mergeCell ref="B182:F182"/>
    <mergeCell ref="B147:C147"/>
    <mergeCell ref="D147:F148"/>
    <mergeCell ref="B148:C148"/>
    <mergeCell ref="A149:F149"/>
    <mergeCell ref="B163:D163"/>
    <mergeCell ref="A176:F176"/>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33:F133"/>
    <mergeCell ref="D134:F134"/>
    <mergeCell ref="B135:F135"/>
    <mergeCell ref="B127:F127"/>
    <mergeCell ref="B128:C128"/>
    <mergeCell ref="E128:F128"/>
    <mergeCell ref="B129:F129"/>
    <mergeCell ref="B130:C130"/>
    <mergeCell ref="E130:F130"/>
    <mergeCell ref="B126:C126"/>
    <mergeCell ref="E126:F126"/>
    <mergeCell ref="B112:F112"/>
    <mergeCell ref="B113:F113"/>
    <mergeCell ref="B114:F114"/>
    <mergeCell ref="B115:F115"/>
    <mergeCell ref="B116:F116"/>
    <mergeCell ref="B131:F131"/>
    <mergeCell ref="B132:C132"/>
    <mergeCell ref="E132:F132"/>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76:C76"/>
    <mergeCell ref="B77:C77"/>
    <mergeCell ref="B78:C78"/>
    <mergeCell ref="B79:C79"/>
    <mergeCell ref="D79:F80"/>
    <mergeCell ref="B80:C80"/>
    <mergeCell ref="A72:F72"/>
    <mergeCell ref="A73:C73"/>
    <mergeCell ref="D73:F73"/>
    <mergeCell ref="A74:C74"/>
    <mergeCell ref="D74:F74"/>
    <mergeCell ref="B75:C75"/>
    <mergeCell ref="B67:F67"/>
    <mergeCell ref="B68:F68"/>
    <mergeCell ref="B69:F69"/>
    <mergeCell ref="B70:F70"/>
    <mergeCell ref="B61:F61"/>
    <mergeCell ref="B62:C62"/>
    <mergeCell ref="E62:F62"/>
    <mergeCell ref="B63:F63"/>
    <mergeCell ref="B64:C64"/>
    <mergeCell ref="E64:F64"/>
    <mergeCell ref="B58:C58"/>
    <mergeCell ref="E58:F58"/>
    <mergeCell ref="B59:F59"/>
    <mergeCell ref="B60:C60"/>
    <mergeCell ref="E60:F60"/>
    <mergeCell ref="B47:F47"/>
    <mergeCell ref="B48:F48"/>
    <mergeCell ref="B65:F65"/>
    <mergeCell ref="D66:F66"/>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A13:F13"/>
    <mergeCell ref="B16:D16"/>
    <mergeCell ref="B27:D27"/>
    <mergeCell ref="A40:F40"/>
    <mergeCell ref="B7:C7"/>
    <mergeCell ref="B8:C8"/>
    <mergeCell ref="B9:C9"/>
    <mergeCell ref="B10:C10"/>
    <mergeCell ref="B11:C11"/>
    <mergeCell ref="D11:F12"/>
    <mergeCell ref="B1:F1"/>
    <mergeCell ref="B2:F2"/>
    <mergeCell ref="B3:F3"/>
    <mergeCell ref="B4:F4"/>
    <mergeCell ref="A5:C5"/>
    <mergeCell ref="A6:C6"/>
    <mergeCell ref="B12:C12"/>
    <mergeCell ref="D5:F5"/>
    <mergeCell ref="D6:F6"/>
  </mergeCells>
  <dataValidations count="11">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or RIRE Stuttgard or an error message will display." sqref="F8:F10 F76:F78 F144:F146 F212:F214">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or RIRE Stuttgard or an error message will display." sqref="E8:E10 E76:E78 E144:E146 E212:E214">
      <formula1>0</formula1>
      <formula2>10000</formula2>
    </dataValidation>
    <dataValidation type="list" showInputMessage="1" showErrorMessage="1" error="A commodity must be selected from the list." prompt="Select a crop from the list" sqref="B8:C8 B144:C144 B212:C212 B76:C76">
      <formula1>Crops</formula1>
    </dataValidation>
    <dataValidation type="list" showInputMessage="1" showErrorMessage="1" error="Select a research station from the list" prompt="Select a research station" sqref="B143 B211:C211 B75:C75 B7">
      <formula1>Stations</formula1>
    </dataValidation>
    <dataValidation type="list" allowBlank="1" showInputMessage="1" showErrorMessage="1" error="Select a harvest method from the list" prompt="Select the harvest method from the list" sqref="B66 B134 B202 B27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formula1>1</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3.0&amp;CPage &amp;P of &amp;N&amp;R2020/2021</oddFooter>
  </headerFooter>
  <rowBreaks count="8" manualBreakCount="8">
    <brk id="39" max="5" man="1"/>
    <brk id="71" max="5" man="1"/>
    <brk id="107" max="5" man="1"/>
    <brk id="139" max="5" man="1"/>
    <brk id="175" max="5" man="1"/>
    <brk id="207" max="5" man="1"/>
    <brk id="243" max="5" man="1"/>
    <brk id="27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sheetPr>
  <dimension ref="A1:O25"/>
  <sheetViews>
    <sheetView showGridLines="0" zoomScaleNormal="100" workbookViewId="0"/>
  </sheetViews>
  <sheetFormatPr defaultRowHeight="15.6" x14ac:dyDescent="0.3"/>
  <cols>
    <col min="1" max="1" width="21.69921875" bestFit="1" customWidth="1"/>
    <col min="2" max="7" width="8.59765625" style="15" customWidth="1"/>
  </cols>
  <sheetData>
    <row r="1" spans="1:15" s="34" customFormat="1" ht="32.25" customHeight="1" thickBot="1" x14ac:dyDescent="0.35">
      <c r="A1" s="123">
        <f>Lead_Project_Investigator</f>
        <v>0</v>
      </c>
      <c r="B1" s="326">
        <f>Project_Title</f>
        <v>0</v>
      </c>
      <c r="C1" s="326"/>
      <c r="D1" s="326"/>
      <c r="E1" s="326"/>
      <c r="F1" s="326"/>
      <c r="G1" s="326"/>
      <c r="H1" s="326"/>
    </row>
    <row r="2" spans="1:15" s="16" customFormat="1" ht="20.100000000000001" customHeight="1" thickTop="1" thickBot="1" x14ac:dyDescent="0.35">
      <c r="A2" s="301" t="s">
        <v>168</v>
      </c>
      <c r="B2" s="301"/>
      <c r="C2" s="301"/>
      <c r="D2" s="301"/>
      <c r="E2" s="301"/>
      <c r="F2" s="301"/>
      <c r="G2" s="301"/>
      <c r="H2" s="301"/>
      <c r="I2" s="124"/>
      <c r="J2" s="124"/>
      <c r="K2" s="122"/>
      <c r="L2" s="122"/>
      <c r="M2" s="122"/>
      <c r="N2" s="122"/>
      <c r="O2" s="122"/>
    </row>
    <row r="3" spans="1:15" s="1" customFormat="1" ht="29.25" customHeight="1" thickTop="1" x14ac:dyDescent="0.3">
      <c r="A3" s="30" t="s">
        <v>11</v>
      </c>
      <c r="B3" s="30" t="s">
        <v>0</v>
      </c>
      <c r="C3" s="30" t="s">
        <v>1</v>
      </c>
      <c r="D3" s="30" t="s">
        <v>334</v>
      </c>
      <c r="E3" s="30" t="s">
        <v>2</v>
      </c>
      <c r="F3" s="30" t="s">
        <v>3</v>
      </c>
      <c r="G3" s="30" t="s">
        <v>4</v>
      </c>
      <c r="H3" s="30" t="s">
        <v>446</v>
      </c>
    </row>
    <row r="4" spans="1:15" x14ac:dyDescent="0.3">
      <c r="A4" s="22" t="s">
        <v>12</v>
      </c>
      <c r="B4" s="14">
        <v>50</v>
      </c>
      <c r="C4" s="14">
        <v>50</v>
      </c>
      <c r="D4" s="14">
        <v>50</v>
      </c>
      <c r="E4" s="14">
        <v>100</v>
      </c>
      <c r="F4" s="14">
        <v>50</v>
      </c>
      <c r="G4" s="14">
        <v>50</v>
      </c>
      <c r="H4" s="128">
        <v>50</v>
      </c>
    </row>
    <row r="5" spans="1:15" x14ac:dyDescent="0.3">
      <c r="A5" s="22" t="s">
        <v>5</v>
      </c>
      <c r="B5" s="14">
        <v>130</v>
      </c>
      <c r="C5" s="14">
        <v>125</v>
      </c>
      <c r="D5" s="14">
        <v>80</v>
      </c>
      <c r="E5" s="14">
        <v>90</v>
      </c>
      <c r="F5" s="14">
        <v>35</v>
      </c>
      <c r="G5" s="14">
        <v>20</v>
      </c>
      <c r="H5" s="128">
        <v>105</v>
      </c>
    </row>
    <row r="6" spans="1:15" x14ac:dyDescent="0.3">
      <c r="A6" s="22" t="s">
        <v>6</v>
      </c>
      <c r="B6" s="14">
        <v>60</v>
      </c>
      <c r="C6" s="14">
        <v>135</v>
      </c>
      <c r="D6" s="14">
        <v>0</v>
      </c>
      <c r="E6" s="14">
        <v>100</v>
      </c>
      <c r="F6" s="14">
        <v>70</v>
      </c>
      <c r="G6" s="14">
        <v>60</v>
      </c>
      <c r="H6" s="128">
        <v>0</v>
      </c>
    </row>
    <row r="7" spans="1:15" x14ac:dyDescent="0.3">
      <c r="A7" s="22" t="s">
        <v>7</v>
      </c>
      <c r="B7" s="14">
        <v>50</v>
      </c>
      <c r="C7" s="14">
        <v>85</v>
      </c>
      <c r="D7" s="14">
        <v>50</v>
      </c>
      <c r="E7" s="14">
        <v>40</v>
      </c>
      <c r="F7" s="14">
        <v>60</v>
      </c>
      <c r="G7" s="14">
        <v>60</v>
      </c>
      <c r="H7" s="128">
        <v>35</v>
      </c>
    </row>
    <row r="8" spans="1:15" x14ac:dyDescent="0.3">
      <c r="A8" s="22" t="s">
        <v>8</v>
      </c>
      <c r="B8" s="14">
        <v>150</v>
      </c>
      <c r="C8" s="14">
        <v>60</v>
      </c>
      <c r="D8" s="14">
        <v>90</v>
      </c>
      <c r="E8" s="14">
        <v>90</v>
      </c>
      <c r="F8" s="14">
        <v>35</v>
      </c>
      <c r="G8" s="14">
        <v>45</v>
      </c>
      <c r="H8" s="128">
        <v>90</v>
      </c>
    </row>
    <row r="9" spans="1:15" x14ac:dyDescent="0.3">
      <c r="A9" s="22" t="s">
        <v>9</v>
      </c>
      <c r="B9" s="14">
        <v>130</v>
      </c>
      <c r="C9" s="14">
        <v>20</v>
      </c>
      <c r="D9" s="14">
        <v>25</v>
      </c>
      <c r="E9" s="14">
        <v>12</v>
      </c>
      <c r="F9" s="14">
        <v>12</v>
      </c>
      <c r="G9" s="14">
        <v>25</v>
      </c>
      <c r="H9" s="128">
        <v>20</v>
      </c>
    </row>
    <row r="10" spans="1:15" x14ac:dyDescent="0.3">
      <c r="A10" s="22" t="s">
        <v>10</v>
      </c>
      <c r="B10" s="14">
        <v>22</v>
      </c>
      <c r="C10" s="14">
        <v>22</v>
      </c>
      <c r="D10" s="14">
        <v>22</v>
      </c>
      <c r="E10" s="14">
        <v>32</v>
      </c>
      <c r="F10" s="14">
        <v>22</v>
      </c>
      <c r="G10" s="14">
        <v>22</v>
      </c>
      <c r="H10" s="128">
        <v>50</v>
      </c>
    </row>
    <row r="11" spans="1:15" x14ac:dyDescent="0.3">
      <c r="A11" s="22" t="s">
        <v>13</v>
      </c>
      <c r="B11" s="14">
        <v>42</v>
      </c>
      <c r="C11" s="14">
        <v>48</v>
      </c>
      <c r="D11" s="14">
        <v>45</v>
      </c>
      <c r="E11" s="14">
        <v>100</v>
      </c>
      <c r="F11" s="14">
        <v>0</v>
      </c>
      <c r="G11" s="14">
        <v>36</v>
      </c>
      <c r="H11" s="128">
        <v>42</v>
      </c>
    </row>
    <row r="12" spans="1:15" x14ac:dyDescent="0.3">
      <c r="A12" s="22" t="s">
        <v>14</v>
      </c>
      <c r="B12" s="14">
        <v>70</v>
      </c>
      <c r="C12" s="14">
        <v>70</v>
      </c>
      <c r="D12" s="14">
        <v>70</v>
      </c>
      <c r="E12" s="14">
        <v>70</v>
      </c>
      <c r="F12" s="14">
        <v>70</v>
      </c>
      <c r="G12" s="14">
        <v>70</v>
      </c>
      <c r="H12" s="128">
        <v>70</v>
      </c>
    </row>
    <row r="13" spans="1:15" x14ac:dyDescent="0.3">
      <c r="A13" s="22" t="s">
        <v>15</v>
      </c>
      <c r="B13" s="14">
        <v>100</v>
      </c>
      <c r="C13" s="14">
        <v>80</v>
      </c>
      <c r="D13" s="14">
        <v>60</v>
      </c>
      <c r="E13" s="14">
        <v>80</v>
      </c>
      <c r="F13" s="14">
        <v>60</v>
      </c>
      <c r="G13" s="14">
        <v>60</v>
      </c>
      <c r="H13" s="128">
        <v>0</v>
      </c>
    </row>
    <row r="14" spans="1:15" x14ac:dyDescent="0.3">
      <c r="A14" s="22" t="s">
        <v>16</v>
      </c>
      <c r="B14" s="14">
        <v>1</v>
      </c>
      <c r="C14" s="14">
        <v>1</v>
      </c>
      <c r="D14" s="14">
        <v>1</v>
      </c>
      <c r="E14" s="14">
        <v>1</v>
      </c>
      <c r="F14" s="14">
        <v>1</v>
      </c>
      <c r="G14" s="14">
        <v>1</v>
      </c>
      <c r="H14" s="128">
        <v>1</v>
      </c>
    </row>
    <row r="15" spans="1:15" s="17" customFormat="1" x14ac:dyDescent="0.3">
      <c r="A15" s="19" t="s">
        <v>134</v>
      </c>
      <c r="B15" s="14">
        <v>30</v>
      </c>
      <c r="C15" s="14">
        <v>30</v>
      </c>
      <c r="D15" s="14">
        <v>30</v>
      </c>
      <c r="E15" s="14">
        <v>30</v>
      </c>
      <c r="F15" s="14">
        <v>30</v>
      </c>
      <c r="G15" s="14">
        <v>30</v>
      </c>
      <c r="H15" s="128">
        <v>30</v>
      </c>
    </row>
    <row r="16" spans="1:15" s="17" customFormat="1" x14ac:dyDescent="0.3">
      <c r="A16" s="19" t="s">
        <v>135</v>
      </c>
      <c r="B16" s="14">
        <v>25</v>
      </c>
      <c r="C16" s="14">
        <v>25</v>
      </c>
      <c r="D16" s="14">
        <v>25</v>
      </c>
      <c r="E16" s="14">
        <v>25</v>
      </c>
      <c r="F16" s="14">
        <v>25</v>
      </c>
      <c r="G16" s="14">
        <v>25</v>
      </c>
      <c r="H16" s="128">
        <v>25</v>
      </c>
    </row>
    <row r="17" spans="1:8" s="17" customFormat="1" x14ac:dyDescent="0.3">
      <c r="A17" s="19" t="s">
        <v>136</v>
      </c>
      <c r="B17" s="14">
        <v>25</v>
      </c>
      <c r="C17" s="14">
        <v>25</v>
      </c>
      <c r="D17" s="14">
        <v>25</v>
      </c>
      <c r="E17" s="14">
        <v>25</v>
      </c>
      <c r="F17" s="14">
        <v>25</v>
      </c>
      <c r="G17" s="14">
        <v>25</v>
      </c>
      <c r="H17" s="128">
        <v>25</v>
      </c>
    </row>
    <row r="18" spans="1:8" s="17" customFormat="1" x14ac:dyDescent="0.3">
      <c r="A18" s="19" t="s">
        <v>137</v>
      </c>
      <c r="B18" s="14">
        <v>25</v>
      </c>
      <c r="C18" s="14">
        <v>25</v>
      </c>
      <c r="D18" s="14">
        <v>25</v>
      </c>
      <c r="E18" s="14">
        <v>25</v>
      </c>
      <c r="F18" s="14">
        <v>25</v>
      </c>
      <c r="G18" s="14">
        <v>25</v>
      </c>
      <c r="H18" s="128">
        <v>25</v>
      </c>
    </row>
    <row r="19" spans="1:8" s="17" customFormat="1" x14ac:dyDescent="0.3">
      <c r="A19" s="19" t="s">
        <v>138</v>
      </c>
      <c r="B19" s="14">
        <v>32</v>
      </c>
      <c r="C19" s="14">
        <v>25</v>
      </c>
      <c r="D19" s="14">
        <v>25</v>
      </c>
      <c r="E19" s="14">
        <v>25</v>
      </c>
      <c r="F19" s="14">
        <v>25</v>
      </c>
      <c r="G19" s="14">
        <v>25</v>
      </c>
      <c r="H19" s="128">
        <v>25</v>
      </c>
    </row>
    <row r="20" spans="1:8" s="17" customFormat="1" x14ac:dyDescent="0.3">
      <c r="A20" s="19" t="s">
        <v>139</v>
      </c>
      <c r="B20" s="14">
        <v>15</v>
      </c>
      <c r="C20" s="14">
        <v>15</v>
      </c>
      <c r="D20" s="14">
        <v>15</v>
      </c>
      <c r="E20" s="14">
        <v>15</v>
      </c>
      <c r="F20" s="14">
        <v>15</v>
      </c>
      <c r="G20" s="14">
        <v>15</v>
      </c>
      <c r="H20" s="128">
        <v>25</v>
      </c>
    </row>
    <row r="21" spans="1:8" x14ac:dyDescent="0.3">
      <c r="A21" s="6" t="s">
        <v>111</v>
      </c>
      <c r="B21" s="14">
        <f>SUBTOTAL(109,Table1[Cotton])</f>
        <v>957</v>
      </c>
      <c r="C21" s="14">
        <f>SUBTOTAL(109,Table1[Corn])</f>
        <v>841</v>
      </c>
      <c r="D21" s="14">
        <f>SUBTOTAL(109,Table1[Soybean])</f>
        <v>638</v>
      </c>
      <c r="E21" s="14">
        <f>SUBTOTAL(109,Table1[Rice])</f>
        <v>860</v>
      </c>
      <c r="F21" s="14">
        <f>SUBTOTAL(109,Table1[Wheat])</f>
        <v>560</v>
      </c>
      <c r="G21" s="14">
        <f>SUBTOTAL(109,Table1[Grain Sorghum])</f>
        <v>594</v>
      </c>
      <c r="H21" s="14">
        <f>SUBTOTAL(109,Table1[Peanut])</f>
        <v>618</v>
      </c>
    </row>
    <row r="22" spans="1:8" ht="16.2" thickBot="1" x14ac:dyDescent="0.35"/>
    <row r="23" spans="1:8" ht="20.100000000000001" customHeight="1" thickTop="1" thickBot="1" x14ac:dyDescent="0.35">
      <c r="A23" s="301" t="s">
        <v>453</v>
      </c>
      <c r="B23" s="301"/>
      <c r="C23" s="301"/>
      <c r="D23" s="301"/>
      <c r="E23" s="301"/>
      <c r="F23" s="301"/>
      <c r="G23" s="301"/>
      <c r="H23" s="301"/>
    </row>
    <row r="24" spans="1:8" ht="29.4" thickTop="1" x14ac:dyDescent="0.3">
      <c r="A24" s="134" t="s">
        <v>461</v>
      </c>
      <c r="B24" s="328" t="s">
        <v>462</v>
      </c>
      <c r="C24" s="328"/>
      <c r="D24" s="328"/>
      <c r="E24" s="328"/>
      <c r="F24" s="328" t="s">
        <v>463</v>
      </c>
      <c r="G24" s="328"/>
      <c r="H24" s="328"/>
    </row>
    <row r="25" spans="1:8" x14ac:dyDescent="0.3">
      <c r="A25" s="133">
        <v>1</v>
      </c>
      <c r="B25" s="327">
        <v>6.8</v>
      </c>
      <c r="C25" s="327"/>
      <c r="D25" s="327"/>
      <c r="E25" s="327"/>
      <c r="F25" s="327">
        <v>1.1000000000000001</v>
      </c>
      <c r="G25" s="327"/>
      <c r="H25" s="327"/>
    </row>
  </sheetData>
  <sheetProtection algorithmName="SHA-512" hashValue="tohT5O5YaVVSCEU90HxeDgsutK4t82jS/1jGA3N7yDcp7uqEM9lH0S4WXnH9Bkvmp8FFIpivbr1RHS/XsNURaQ==" saltValue="6c9Vw9StjDU1XzSFZstjeA==" spinCount="100000" sheet="1" selectLockedCells="1"/>
  <mergeCells count="7">
    <mergeCell ref="B1:H1"/>
    <mergeCell ref="B25:E25"/>
    <mergeCell ref="F25:H25"/>
    <mergeCell ref="A2:H2"/>
    <mergeCell ref="A23:H23"/>
    <mergeCell ref="B24:E24"/>
    <mergeCell ref="F24:H24"/>
  </mergeCell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3.0&amp;CPage &amp;P of &amp;N&amp;R2020/2021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C7"/>
  <sheetViews>
    <sheetView workbookViewId="0">
      <selection sqref="A1:C1"/>
    </sheetView>
  </sheetViews>
  <sheetFormatPr defaultRowHeight="15.6" x14ac:dyDescent="0.3"/>
  <cols>
    <col min="1" max="1" width="8.8984375" style="126" customWidth="1"/>
    <col min="2" max="2" width="10.3984375" style="15" bestFit="1" customWidth="1"/>
    <col min="3" max="3" width="27.19921875" bestFit="1" customWidth="1"/>
  </cols>
  <sheetData>
    <row r="1" spans="1:3" ht="19.8" x14ac:dyDescent="0.4">
      <c r="A1" s="329" t="s">
        <v>342</v>
      </c>
      <c r="B1" s="329"/>
      <c r="C1" s="329"/>
    </row>
    <row r="2" spans="1:3" s="1" customFormat="1" x14ac:dyDescent="0.3">
      <c r="A2" s="127" t="s">
        <v>349</v>
      </c>
      <c r="B2" s="171" t="s">
        <v>347</v>
      </c>
      <c r="C2" s="1" t="s">
        <v>348</v>
      </c>
    </row>
    <row r="3" spans="1:3" x14ac:dyDescent="0.3">
      <c r="A3" s="172">
        <v>1</v>
      </c>
      <c r="B3" s="173">
        <v>43048</v>
      </c>
      <c r="C3" s="16" t="s">
        <v>345</v>
      </c>
    </row>
    <row r="4" spans="1:3" x14ac:dyDescent="0.3">
      <c r="A4" s="172">
        <v>1.1000000000000001</v>
      </c>
      <c r="B4" s="173">
        <v>43167</v>
      </c>
      <c r="C4" s="16" t="s">
        <v>343</v>
      </c>
    </row>
    <row r="5" spans="1:3" x14ac:dyDescent="0.3">
      <c r="A5" s="172">
        <v>1.2</v>
      </c>
      <c r="B5" s="173">
        <v>43299</v>
      </c>
      <c r="C5" s="16" t="s">
        <v>344</v>
      </c>
    </row>
    <row r="6" spans="1:3" x14ac:dyDescent="0.3">
      <c r="A6" s="172">
        <v>2</v>
      </c>
      <c r="B6" s="173">
        <v>43402</v>
      </c>
      <c r="C6" s="16" t="s">
        <v>346</v>
      </c>
    </row>
    <row r="7" spans="1:3" ht="46.8" x14ac:dyDescent="0.3">
      <c r="A7" s="172">
        <v>3</v>
      </c>
      <c r="B7" s="173">
        <v>43655</v>
      </c>
      <c r="C7" s="174" t="s">
        <v>551</v>
      </c>
    </row>
  </sheetData>
  <sheetProtection algorithmName="SHA-512" hashValue="N9FAxIsHul3uvT5mlx8aMwjejyTcn4BRWkJD+sJd4NkXcq0rD5ELgdy5m7S+VGaRH/ydjSkUTjJ0pm5n7uQyLQ==" saltValue="wKk8uch1/UZCccDL/TEvaw==" spinCount="100000" sheet="1" objects="1" scenarios="1" selectLockedCells="1"/>
  <mergeCells count="1">
    <mergeCell ref="A1:C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6"/>
  <sheetViews>
    <sheetView zoomScaleNormal="100" workbookViewId="0">
      <selection sqref="A1:C1"/>
    </sheetView>
  </sheetViews>
  <sheetFormatPr defaultRowHeight="15.6" x14ac:dyDescent="0.3"/>
  <cols>
    <col min="1" max="1" width="12.69921875" bestFit="1" customWidth="1"/>
    <col min="2" max="2" width="17.3984375" bestFit="1" customWidth="1"/>
    <col min="3" max="3" width="30.5" bestFit="1" customWidth="1"/>
    <col min="4" max="4" width="11.5" customWidth="1"/>
    <col min="5" max="5" width="63.8984375" customWidth="1"/>
  </cols>
  <sheetData>
    <row r="1" spans="1:5" s="1" customFormat="1" ht="43.2" x14ac:dyDescent="0.3">
      <c r="A1" s="131" t="s">
        <v>203</v>
      </c>
      <c r="B1" s="131" t="s">
        <v>108</v>
      </c>
      <c r="C1" s="131" t="s">
        <v>213</v>
      </c>
      <c r="D1" s="131" t="s">
        <v>454</v>
      </c>
      <c r="E1" s="131" t="s">
        <v>467</v>
      </c>
    </row>
    <row r="2" spans="1:5" ht="45.6" x14ac:dyDescent="0.3">
      <c r="A2" t="s">
        <v>1</v>
      </c>
      <c r="B2" t="s">
        <v>169</v>
      </c>
      <c r="C2" t="s">
        <v>220</v>
      </c>
      <c r="D2" s="126">
        <v>0</v>
      </c>
      <c r="E2" s="145" t="s">
        <v>543</v>
      </c>
    </row>
    <row r="3" spans="1:5" ht="31.8" x14ac:dyDescent="0.3">
      <c r="A3" t="s">
        <v>0</v>
      </c>
      <c r="B3" t="s">
        <v>170</v>
      </c>
      <c r="C3" t="s">
        <v>219</v>
      </c>
      <c r="D3" s="126">
        <v>0.5</v>
      </c>
      <c r="E3" s="148" t="s">
        <v>544</v>
      </c>
    </row>
    <row r="4" spans="1:5" ht="30.6" x14ac:dyDescent="0.3">
      <c r="A4" t="s">
        <v>4</v>
      </c>
      <c r="B4" s="34" t="s">
        <v>171</v>
      </c>
      <c r="C4" t="s">
        <v>218</v>
      </c>
      <c r="D4" s="126">
        <v>1</v>
      </c>
      <c r="E4" s="149" t="s">
        <v>545</v>
      </c>
    </row>
    <row r="5" spans="1:5" x14ac:dyDescent="0.3">
      <c r="A5" t="s">
        <v>446</v>
      </c>
      <c r="B5" t="s">
        <v>172</v>
      </c>
      <c r="C5" t="s">
        <v>221</v>
      </c>
      <c r="D5" s="126">
        <v>1.5</v>
      </c>
    </row>
    <row r="6" spans="1:5" x14ac:dyDescent="0.3">
      <c r="A6" t="s">
        <v>2</v>
      </c>
      <c r="B6" s="34" t="s">
        <v>173</v>
      </c>
      <c r="C6" t="s">
        <v>92</v>
      </c>
      <c r="D6" s="126">
        <v>2</v>
      </c>
    </row>
    <row r="7" spans="1:5" x14ac:dyDescent="0.3">
      <c r="A7" t="s">
        <v>334</v>
      </c>
      <c r="B7" t="s">
        <v>174</v>
      </c>
      <c r="C7" t="s">
        <v>0</v>
      </c>
      <c r="D7" s="126">
        <v>2.5</v>
      </c>
    </row>
    <row r="8" spans="1:5" x14ac:dyDescent="0.3">
      <c r="A8" t="s">
        <v>3</v>
      </c>
      <c r="B8" t="s">
        <v>175</v>
      </c>
      <c r="C8" t="s">
        <v>259</v>
      </c>
      <c r="D8" s="126">
        <v>3</v>
      </c>
    </row>
    <row r="9" spans="1:5" x14ac:dyDescent="0.3">
      <c r="B9" t="s">
        <v>447</v>
      </c>
      <c r="D9" s="126">
        <v>3.5</v>
      </c>
    </row>
    <row r="10" spans="1:5" x14ac:dyDescent="0.3">
      <c r="B10" t="s">
        <v>176</v>
      </c>
      <c r="D10" s="126">
        <v>4</v>
      </c>
    </row>
    <row r="11" spans="1:5" x14ac:dyDescent="0.3">
      <c r="B11" t="s">
        <v>177</v>
      </c>
      <c r="D11" s="126">
        <v>4.5</v>
      </c>
    </row>
    <row r="12" spans="1:5" x14ac:dyDescent="0.3">
      <c r="B12" t="s">
        <v>178</v>
      </c>
      <c r="D12" s="126">
        <v>5</v>
      </c>
    </row>
    <row r="13" spans="1:5" x14ac:dyDescent="0.3">
      <c r="A13" s="33"/>
      <c r="D13" s="126">
        <v>5.5</v>
      </c>
    </row>
    <row r="14" spans="1:5" x14ac:dyDescent="0.3">
      <c r="B14" s="8"/>
      <c r="D14" s="126">
        <v>6</v>
      </c>
    </row>
    <row r="15" spans="1:5" x14ac:dyDescent="0.3">
      <c r="A15" s="11"/>
      <c r="D15" s="126">
        <v>6.5</v>
      </c>
    </row>
    <row r="16" spans="1:5" s="8" customFormat="1" x14ac:dyDescent="0.3">
      <c r="A16" s="10"/>
      <c r="D16" s="126">
        <v>7</v>
      </c>
    </row>
    <row r="17" spans="1:4" x14ac:dyDescent="0.3">
      <c r="A17" s="8"/>
      <c r="D17" s="126">
        <v>7.5</v>
      </c>
    </row>
    <row r="18" spans="1:4" s="8" customFormat="1" x14ac:dyDescent="0.3">
      <c r="A18"/>
      <c r="D18" s="126">
        <v>8</v>
      </c>
    </row>
    <row r="19" spans="1:4" x14ac:dyDescent="0.3">
      <c r="A19" s="8"/>
      <c r="D19" s="126">
        <v>8.5</v>
      </c>
    </row>
    <row r="20" spans="1:4" s="8" customFormat="1" x14ac:dyDescent="0.3">
      <c r="A20"/>
      <c r="D20" s="126">
        <v>9</v>
      </c>
    </row>
    <row r="21" spans="1:4" x14ac:dyDescent="0.3">
      <c r="A21" s="8"/>
      <c r="D21" s="126">
        <v>9.5</v>
      </c>
    </row>
    <row r="22" spans="1:4" s="8" customFormat="1" x14ac:dyDescent="0.3">
      <c r="A22"/>
      <c r="D22" s="126">
        <v>10</v>
      </c>
    </row>
    <row r="23" spans="1:4" x14ac:dyDescent="0.3">
      <c r="A23" s="8"/>
      <c r="D23" s="126">
        <v>10.5</v>
      </c>
    </row>
    <row r="24" spans="1:4" s="8" customFormat="1" x14ac:dyDescent="0.3">
      <c r="A24"/>
      <c r="B24"/>
      <c r="D24" s="126">
        <v>11</v>
      </c>
    </row>
    <row r="25" spans="1:4" x14ac:dyDescent="0.3">
      <c r="D25" s="126">
        <v>11.5</v>
      </c>
    </row>
    <row r="26" spans="1:4" x14ac:dyDescent="0.3">
      <c r="D26" s="126">
        <v>12</v>
      </c>
    </row>
  </sheetData>
  <sheetProtection algorithmName="SHA-512" hashValue="p8g3CmDK/HfIFoj7VWSFJfjiYRVBE2palE0K7sZoSMAJW25kuTcTNUdNZX5B7gtTfpDwCA2cE4cWTLqvQyUJ0w==" saltValue="SGnFC/XV7dMV9y/ZBZ5gaQ==" spinCount="100000" sheet="1" selectLockedCells="1"/>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05"/>
  <sheetViews>
    <sheetView workbookViewId="0">
      <selection sqref="A1:C1"/>
    </sheetView>
  </sheetViews>
  <sheetFormatPr defaultRowHeight="15.6" x14ac:dyDescent="0.3"/>
  <cols>
    <col min="1" max="1" width="21.5" bestFit="1" customWidth="1"/>
    <col min="2" max="2" width="15.8984375" style="34" customWidth="1"/>
    <col min="3" max="3" width="7.3984375" bestFit="1" customWidth="1"/>
    <col min="4" max="4" width="9.8984375" bestFit="1" customWidth="1"/>
    <col min="5" max="6" width="15.69921875" bestFit="1" customWidth="1"/>
  </cols>
  <sheetData>
    <row r="1" spans="1:2" ht="15.75" customHeight="1" x14ac:dyDescent="0.3">
      <c r="A1" s="9" t="s">
        <v>109</v>
      </c>
      <c r="B1"/>
    </row>
    <row r="2" spans="1:2" x14ac:dyDescent="0.3">
      <c r="A2" s="34" t="s">
        <v>350</v>
      </c>
    </row>
    <row r="3" spans="1:2" x14ac:dyDescent="0.3">
      <c r="A3" s="34" t="s">
        <v>261</v>
      </c>
    </row>
    <row r="4" spans="1:2" x14ac:dyDescent="0.3">
      <c r="A4" s="34" t="s">
        <v>351</v>
      </c>
    </row>
    <row r="5" spans="1:2" x14ac:dyDescent="0.3">
      <c r="A5" s="34" t="s">
        <v>352</v>
      </c>
    </row>
    <row r="6" spans="1:2" x14ac:dyDescent="0.3">
      <c r="A6" s="34" t="s">
        <v>256</v>
      </c>
    </row>
    <row r="7" spans="1:2" x14ac:dyDescent="0.3">
      <c r="A7" s="34" t="s">
        <v>262</v>
      </c>
    </row>
    <row r="8" spans="1:2" x14ac:dyDescent="0.3">
      <c r="A8" s="34" t="s">
        <v>520</v>
      </c>
    </row>
    <row r="9" spans="1:2" x14ac:dyDescent="0.3">
      <c r="A9" s="34" t="s">
        <v>325</v>
      </c>
    </row>
    <row r="10" spans="1:2" x14ac:dyDescent="0.3">
      <c r="A10" s="34" t="s">
        <v>353</v>
      </c>
    </row>
    <row r="11" spans="1:2" x14ac:dyDescent="0.3">
      <c r="A11" s="34" t="s">
        <v>354</v>
      </c>
    </row>
    <row r="12" spans="1:2" x14ac:dyDescent="0.3">
      <c r="A12" s="34" t="s">
        <v>355</v>
      </c>
    </row>
    <row r="13" spans="1:2" x14ac:dyDescent="0.3">
      <c r="A13" s="34" t="s">
        <v>263</v>
      </c>
    </row>
    <row r="14" spans="1:2" x14ac:dyDescent="0.3">
      <c r="A14" s="34" t="s">
        <v>356</v>
      </c>
    </row>
    <row r="15" spans="1:2" x14ac:dyDescent="0.3">
      <c r="A15" s="34" t="s">
        <v>357</v>
      </c>
    </row>
    <row r="16" spans="1:2" x14ac:dyDescent="0.3">
      <c r="A16" s="34" t="s">
        <v>358</v>
      </c>
    </row>
    <row r="17" spans="1:1" x14ac:dyDescent="0.3">
      <c r="A17" s="34" t="s">
        <v>264</v>
      </c>
    </row>
    <row r="18" spans="1:1" x14ac:dyDescent="0.3">
      <c r="A18" s="34" t="s">
        <v>359</v>
      </c>
    </row>
    <row r="19" spans="1:1" x14ac:dyDescent="0.3">
      <c r="A19" s="34" t="s">
        <v>246</v>
      </c>
    </row>
    <row r="20" spans="1:1" x14ac:dyDescent="0.3">
      <c r="A20" s="34" t="s">
        <v>360</v>
      </c>
    </row>
    <row r="21" spans="1:1" x14ac:dyDescent="0.3">
      <c r="A21" s="34" t="s">
        <v>265</v>
      </c>
    </row>
    <row r="22" spans="1:1" x14ac:dyDescent="0.3">
      <c r="A22" s="34" t="s">
        <v>522</v>
      </c>
    </row>
    <row r="23" spans="1:1" x14ac:dyDescent="0.3">
      <c r="A23" s="34" t="s">
        <v>361</v>
      </c>
    </row>
    <row r="24" spans="1:1" x14ac:dyDescent="0.3">
      <c r="A24" s="34" t="s">
        <v>241</v>
      </c>
    </row>
    <row r="25" spans="1:1" x14ac:dyDescent="0.3">
      <c r="A25" s="34" t="s">
        <v>362</v>
      </c>
    </row>
    <row r="26" spans="1:1" x14ac:dyDescent="0.3">
      <c r="A26" s="34" t="s">
        <v>266</v>
      </c>
    </row>
    <row r="27" spans="1:1" x14ac:dyDescent="0.3">
      <c r="A27" s="34" t="s">
        <v>267</v>
      </c>
    </row>
    <row r="28" spans="1:1" x14ac:dyDescent="0.3">
      <c r="A28" s="34" t="s">
        <v>268</v>
      </c>
    </row>
    <row r="29" spans="1:1" x14ac:dyDescent="0.3">
      <c r="A29" s="34" t="s">
        <v>363</v>
      </c>
    </row>
    <row r="30" spans="1:1" x14ac:dyDescent="0.3">
      <c r="A30" s="34" t="s">
        <v>269</v>
      </c>
    </row>
    <row r="31" spans="1:1" x14ac:dyDescent="0.3">
      <c r="A31" s="34" t="s">
        <v>270</v>
      </c>
    </row>
    <row r="32" spans="1:1" x14ac:dyDescent="0.3">
      <c r="A32" s="34" t="s">
        <v>271</v>
      </c>
    </row>
    <row r="33" spans="1:1" x14ac:dyDescent="0.3">
      <c r="A33" s="34" t="s">
        <v>272</v>
      </c>
    </row>
    <row r="34" spans="1:1" x14ac:dyDescent="0.3">
      <c r="A34" s="34" t="s">
        <v>273</v>
      </c>
    </row>
    <row r="35" spans="1:1" x14ac:dyDescent="0.3">
      <c r="A35" s="34" t="s">
        <v>364</v>
      </c>
    </row>
    <row r="36" spans="1:1" x14ac:dyDescent="0.3">
      <c r="A36" s="34" t="s">
        <v>528</v>
      </c>
    </row>
    <row r="37" spans="1:1" x14ac:dyDescent="0.3">
      <c r="A37" s="34" t="s">
        <v>529</v>
      </c>
    </row>
    <row r="38" spans="1:1" x14ac:dyDescent="0.3">
      <c r="A38" s="34" t="s">
        <v>365</v>
      </c>
    </row>
    <row r="39" spans="1:1" x14ac:dyDescent="0.3">
      <c r="A39" s="34" t="s">
        <v>274</v>
      </c>
    </row>
    <row r="40" spans="1:1" x14ac:dyDescent="0.3">
      <c r="A40" s="34" t="s">
        <v>366</v>
      </c>
    </row>
    <row r="41" spans="1:1" x14ac:dyDescent="0.3">
      <c r="A41" s="34" t="s">
        <v>367</v>
      </c>
    </row>
    <row r="42" spans="1:1" x14ac:dyDescent="0.3">
      <c r="A42" s="34" t="s">
        <v>368</v>
      </c>
    </row>
    <row r="43" spans="1:1" x14ac:dyDescent="0.3">
      <c r="A43" s="34" t="s">
        <v>369</v>
      </c>
    </row>
    <row r="44" spans="1:1" x14ac:dyDescent="0.3">
      <c r="A44" s="34" t="s">
        <v>370</v>
      </c>
    </row>
    <row r="45" spans="1:1" x14ac:dyDescent="0.3">
      <c r="A45" s="34" t="s">
        <v>275</v>
      </c>
    </row>
    <row r="46" spans="1:1" x14ac:dyDescent="0.3">
      <c r="A46" s="34" t="s">
        <v>530</v>
      </c>
    </row>
    <row r="47" spans="1:1" x14ac:dyDescent="0.3">
      <c r="A47" s="34" t="s">
        <v>276</v>
      </c>
    </row>
    <row r="48" spans="1:1" x14ac:dyDescent="0.3">
      <c r="A48" s="34" t="s">
        <v>371</v>
      </c>
    </row>
    <row r="49" spans="1:1" x14ac:dyDescent="0.3">
      <c r="A49" s="34" t="s">
        <v>538</v>
      </c>
    </row>
    <row r="50" spans="1:1" x14ac:dyDescent="0.3">
      <c r="A50" s="34" t="s">
        <v>277</v>
      </c>
    </row>
    <row r="51" spans="1:1" x14ac:dyDescent="0.3">
      <c r="A51" s="34" t="s">
        <v>372</v>
      </c>
    </row>
    <row r="52" spans="1:1" x14ac:dyDescent="0.3">
      <c r="A52" s="34" t="s">
        <v>525</v>
      </c>
    </row>
    <row r="53" spans="1:1" x14ac:dyDescent="0.3">
      <c r="A53" s="34" t="s">
        <v>373</v>
      </c>
    </row>
    <row r="54" spans="1:1" x14ac:dyDescent="0.3">
      <c r="A54" s="34" t="s">
        <v>278</v>
      </c>
    </row>
    <row r="55" spans="1:1" x14ac:dyDescent="0.3">
      <c r="A55" s="34" t="s">
        <v>250</v>
      </c>
    </row>
    <row r="56" spans="1:1" x14ac:dyDescent="0.3">
      <c r="A56" s="34" t="s">
        <v>374</v>
      </c>
    </row>
    <row r="57" spans="1:1" x14ac:dyDescent="0.3">
      <c r="A57" s="34" t="s">
        <v>375</v>
      </c>
    </row>
    <row r="58" spans="1:1" x14ac:dyDescent="0.3">
      <c r="A58" s="34" t="s">
        <v>376</v>
      </c>
    </row>
    <row r="59" spans="1:1" x14ac:dyDescent="0.3">
      <c r="A59" s="34" t="s">
        <v>279</v>
      </c>
    </row>
    <row r="60" spans="1:1" x14ac:dyDescent="0.3">
      <c r="A60" s="34" t="s">
        <v>531</v>
      </c>
    </row>
    <row r="61" spans="1:1" x14ac:dyDescent="0.3">
      <c r="A61" s="34" t="s">
        <v>377</v>
      </c>
    </row>
    <row r="62" spans="1:1" x14ac:dyDescent="0.3">
      <c r="A62" s="34" t="s">
        <v>244</v>
      </c>
    </row>
    <row r="63" spans="1:1" x14ac:dyDescent="0.3">
      <c r="A63" s="34" t="s">
        <v>378</v>
      </c>
    </row>
    <row r="64" spans="1:1" x14ac:dyDescent="0.3">
      <c r="A64" s="34" t="s">
        <v>379</v>
      </c>
    </row>
    <row r="65" spans="1:1" x14ac:dyDescent="0.3">
      <c r="A65" s="34" t="s">
        <v>380</v>
      </c>
    </row>
    <row r="66" spans="1:1" x14ac:dyDescent="0.3">
      <c r="A66" s="34" t="s">
        <v>243</v>
      </c>
    </row>
    <row r="67" spans="1:1" x14ac:dyDescent="0.3">
      <c r="A67" s="34" t="s">
        <v>381</v>
      </c>
    </row>
    <row r="68" spans="1:1" x14ac:dyDescent="0.3">
      <c r="A68" s="34" t="s">
        <v>280</v>
      </c>
    </row>
    <row r="69" spans="1:1" x14ac:dyDescent="0.3">
      <c r="A69" s="34" t="s">
        <v>382</v>
      </c>
    </row>
    <row r="70" spans="1:1" x14ac:dyDescent="0.3">
      <c r="A70" s="34" t="s">
        <v>281</v>
      </c>
    </row>
    <row r="71" spans="1:1" x14ac:dyDescent="0.3">
      <c r="A71" s="34" t="s">
        <v>526</v>
      </c>
    </row>
    <row r="72" spans="1:1" x14ac:dyDescent="0.3">
      <c r="A72" s="34" t="s">
        <v>282</v>
      </c>
    </row>
    <row r="73" spans="1:1" x14ac:dyDescent="0.3">
      <c r="A73" s="34" t="s">
        <v>283</v>
      </c>
    </row>
    <row r="74" spans="1:1" x14ac:dyDescent="0.3">
      <c r="A74" s="34" t="s">
        <v>249</v>
      </c>
    </row>
    <row r="75" spans="1:1" x14ac:dyDescent="0.3">
      <c r="A75" s="34" t="s">
        <v>284</v>
      </c>
    </row>
    <row r="76" spans="1:1" x14ac:dyDescent="0.3">
      <c r="A76" s="34" t="s">
        <v>383</v>
      </c>
    </row>
    <row r="77" spans="1:1" x14ac:dyDescent="0.3">
      <c r="A77" s="34" t="s">
        <v>532</v>
      </c>
    </row>
    <row r="78" spans="1:1" x14ac:dyDescent="0.3">
      <c r="A78" s="34" t="s">
        <v>285</v>
      </c>
    </row>
    <row r="79" spans="1:1" x14ac:dyDescent="0.3">
      <c r="A79" s="34" t="s">
        <v>384</v>
      </c>
    </row>
    <row r="80" spans="1:1" x14ac:dyDescent="0.3">
      <c r="A80" s="34" t="s">
        <v>385</v>
      </c>
    </row>
    <row r="81" spans="1:1" x14ac:dyDescent="0.3">
      <c r="A81" s="34" t="s">
        <v>286</v>
      </c>
    </row>
    <row r="82" spans="1:1" x14ac:dyDescent="0.3">
      <c r="A82" s="34" t="s">
        <v>248</v>
      </c>
    </row>
    <row r="83" spans="1:1" x14ac:dyDescent="0.3">
      <c r="A83" s="34" t="s">
        <v>287</v>
      </c>
    </row>
    <row r="84" spans="1:1" x14ac:dyDescent="0.3">
      <c r="A84" s="34" t="s">
        <v>386</v>
      </c>
    </row>
    <row r="85" spans="1:1" x14ac:dyDescent="0.3">
      <c r="A85" s="34" t="s">
        <v>288</v>
      </c>
    </row>
    <row r="86" spans="1:1" x14ac:dyDescent="0.3">
      <c r="A86" s="34" t="s">
        <v>387</v>
      </c>
    </row>
    <row r="87" spans="1:1" x14ac:dyDescent="0.3">
      <c r="A87" s="34" t="s">
        <v>388</v>
      </c>
    </row>
    <row r="88" spans="1:1" x14ac:dyDescent="0.3">
      <c r="A88" s="34" t="s">
        <v>389</v>
      </c>
    </row>
    <row r="89" spans="1:1" x14ac:dyDescent="0.3">
      <c r="A89" s="34" t="s">
        <v>390</v>
      </c>
    </row>
    <row r="90" spans="1:1" x14ac:dyDescent="0.3">
      <c r="A90" s="34" t="s">
        <v>289</v>
      </c>
    </row>
    <row r="91" spans="1:1" x14ac:dyDescent="0.3">
      <c r="A91" s="34" t="s">
        <v>251</v>
      </c>
    </row>
    <row r="92" spans="1:1" x14ac:dyDescent="0.3">
      <c r="A92" s="34" t="s">
        <v>391</v>
      </c>
    </row>
    <row r="93" spans="1:1" x14ac:dyDescent="0.3">
      <c r="A93" s="34" t="s">
        <v>245</v>
      </c>
    </row>
    <row r="94" spans="1:1" x14ac:dyDescent="0.3">
      <c r="A94" s="34" t="s">
        <v>290</v>
      </c>
    </row>
    <row r="95" spans="1:1" x14ac:dyDescent="0.3">
      <c r="A95" s="34" t="s">
        <v>392</v>
      </c>
    </row>
    <row r="96" spans="1:1" x14ac:dyDescent="0.3">
      <c r="A96" s="34" t="s">
        <v>393</v>
      </c>
    </row>
    <row r="97" spans="1:1" x14ac:dyDescent="0.3">
      <c r="A97" s="34" t="s">
        <v>535</v>
      </c>
    </row>
    <row r="98" spans="1:1" x14ac:dyDescent="0.3">
      <c r="A98" s="34" t="s">
        <v>394</v>
      </c>
    </row>
    <row r="99" spans="1:1" x14ac:dyDescent="0.3">
      <c r="A99" s="34" t="s">
        <v>240</v>
      </c>
    </row>
    <row r="100" spans="1:1" x14ac:dyDescent="0.3">
      <c r="A100" s="34" t="s">
        <v>395</v>
      </c>
    </row>
    <row r="101" spans="1:1" x14ac:dyDescent="0.3">
      <c r="A101" s="34" t="s">
        <v>396</v>
      </c>
    </row>
    <row r="102" spans="1:1" x14ac:dyDescent="0.3">
      <c r="A102" s="34" t="s">
        <v>255</v>
      </c>
    </row>
    <row r="103" spans="1:1" x14ac:dyDescent="0.3">
      <c r="A103" s="34" t="s">
        <v>291</v>
      </c>
    </row>
    <row r="104" spans="1:1" x14ac:dyDescent="0.3">
      <c r="A104" s="34" t="s">
        <v>292</v>
      </c>
    </row>
    <row r="105" spans="1:1" x14ac:dyDescent="0.3">
      <c r="A105" s="34" t="s">
        <v>397</v>
      </c>
    </row>
    <row r="106" spans="1:1" x14ac:dyDescent="0.3">
      <c r="A106" s="34" t="s">
        <v>398</v>
      </c>
    </row>
    <row r="107" spans="1:1" x14ac:dyDescent="0.3">
      <c r="A107" s="34" t="s">
        <v>399</v>
      </c>
    </row>
    <row r="108" spans="1:1" x14ac:dyDescent="0.3">
      <c r="A108" s="34" t="s">
        <v>400</v>
      </c>
    </row>
    <row r="109" spans="1:1" x14ac:dyDescent="0.3">
      <c r="A109" s="34" t="s">
        <v>293</v>
      </c>
    </row>
    <row r="110" spans="1:1" x14ac:dyDescent="0.3">
      <c r="A110" s="34" t="s">
        <v>294</v>
      </c>
    </row>
    <row r="111" spans="1:1" x14ac:dyDescent="0.3">
      <c r="A111" s="34" t="s">
        <v>401</v>
      </c>
    </row>
    <row r="112" spans="1:1" x14ac:dyDescent="0.3">
      <c r="A112" s="34" t="s">
        <v>295</v>
      </c>
    </row>
    <row r="113" spans="1:1" x14ac:dyDescent="0.3">
      <c r="A113" s="34" t="s">
        <v>402</v>
      </c>
    </row>
    <row r="114" spans="1:1" x14ac:dyDescent="0.3">
      <c r="A114" s="34" t="s">
        <v>403</v>
      </c>
    </row>
    <row r="115" spans="1:1" x14ac:dyDescent="0.3">
      <c r="A115" s="34" t="s">
        <v>404</v>
      </c>
    </row>
    <row r="116" spans="1:1" x14ac:dyDescent="0.3">
      <c r="A116" s="34" t="s">
        <v>405</v>
      </c>
    </row>
    <row r="117" spans="1:1" x14ac:dyDescent="0.3">
      <c r="A117" s="34" t="s">
        <v>296</v>
      </c>
    </row>
    <row r="118" spans="1:1" x14ac:dyDescent="0.3">
      <c r="A118" s="34" t="s">
        <v>406</v>
      </c>
    </row>
    <row r="119" spans="1:1" x14ac:dyDescent="0.3">
      <c r="A119" s="34" t="s">
        <v>407</v>
      </c>
    </row>
    <row r="120" spans="1:1" x14ac:dyDescent="0.3">
      <c r="A120" s="34" t="s">
        <v>297</v>
      </c>
    </row>
    <row r="121" spans="1:1" x14ac:dyDescent="0.3">
      <c r="A121" s="34" t="s">
        <v>408</v>
      </c>
    </row>
    <row r="122" spans="1:1" x14ac:dyDescent="0.3">
      <c r="A122" s="34" t="s">
        <v>409</v>
      </c>
    </row>
    <row r="123" spans="1:1" x14ac:dyDescent="0.3">
      <c r="A123" s="34" t="s">
        <v>410</v>
      </c>
    </row>
    <row r="124" spans="1:1" x14ac:dyDescent="0.3">
      <c r="A124" s="34" t="s">
        <v>411</v>
      </c>
    </row>
    <row r="125" spans="1:1" x14ac:dyDescent="0.3">
      <c r="A125" s="34" t="s">
        <v>298</v>
      </c>
    </row>
    <row r="126" spans="1:1" x14ac:dyDescent="0.3">
      <c r="A126" s="34" t="s">
        <v>412</v>
      </c>
    </row>
    <row r="127" spans="1:1" x14ac:dyDescent="0.3">
      <c r="A127" s="34" t="s">
        <v>413</v>
      </c>
    </row>
    <row r="128" spans="1:1" x14ac:dyDescent="0.3">
      <c r="A128" s="34" t="s">
        <v>253</v>
      </c>
    </row>
    <row r="129" spans="1:1" x14ac:dyDescent="0.3">
      <c r="A129" s="34" t="s">
        <v>414</v>
      </c>
    </row>
    <row r="130" spans="1:1" x14ac:dyDescent="0.3">
      <c r="A130" s="34" t="s">
        <v>254</v>
      </c>
    </row>
    <row r="131" spans="1:1" x14ac:dyDescent="0.3">
      <c r="A131" s="34" t="s">
        <v>299</v>
      </c>
    </row>
    <row r="132" spans="1:1" x14ac:dyDescent="0.3">
      <c r="A132" s="34" t="s">
        <v>301</v>
      </c>
    </row>
    <row r="133" spans="1:1" x14ac:dyDescent="0.3">
      <c r="A133" s="34" t="s">
        <v>300</v>
      </c>
    </row>
    <row r="134" spans="1:1" x14ac:dyDescent="0.3">
      <c r="A134" s="34" t="s">
        <v>415</v>
      </c>
    </row>
    <row r="135" spans="1:1" x14ac:dyDescent="0.3">
      <c r="A135" s="34" t="s">
        <v>302</v>
      </c>
    </row>
    <row r="136" spans="1:1" x14ac:dyDescent="0.3">
      <c r="A136" s="34" t="s">
        <v>303</v>
      </c>
    </row>
    <row r="137" spans="1:1" x14ac:dyDescent="0.3">
      <c r="A137" s="34" t="s">
        <v>416</v>
      </c>
    </row>
    <row r="138" spans="1:1" x14ac:dyDescent="0.3">
      <c r="A138" s="34" t="s">
        <v>304</v>
      </c>
    </row>
    <row r="139" spans="1:1" x14ac:dyDescent="0.3">
      <c r="A139" s="34" t="s">
        <v>305</v>
      </c>
    </row>
    <row r="140" spans="1:1" x14ac:dyDescent="0.3">
      <c r="A140" s="34" t="s">
        <v>417</v>
      </c>
    </row>
    <row r="141" spans="1:1" x14ac:dyDescent="0.3">
      <c r="A141" s="34" t="s">
        <v>418</v>
      </c>
    </row>
    <row r="142" spans="1:1" x14ac:dyDescent="0.3">
      <c r="A142" s="34" t="s">
        <v>306</v>
      </c>
    </row>
    <row r="143" spans="1:1" x14ac:dyDescent="0.3">
      <c r="A143" s="34" t="s">
        <v>419</v>
      </c>
    </row>
    <row r="144" spans="1:1" x14ac:dyDescent="0.3">
      <c r="A144" s="34" t="s">
        <v>533</v>
      </c>
    </row>
    <row r="145" spans="1:1" x14ac:dyDescent="0.3">
      <c r="A145" s="34" t="s">
        <v>521</v>
      </c>
    </row>
    <row r="146" spans="1:1" x14ac:dyDescent="0.3">
      <c r="A146" s="34" t="s">
        <v>247</v>
      </c>
    </row>
    <row r="147" spans="1:1" x14ac:dyDescent="0.3">
      <c r="A147" s="34" t="s">
        <v>420</v>
      </c>
    </row>
    <row r="148" spans="1:1" x14ac:dyDescent="0.3">
      <c r="A148" s="34" t="s">
        <v>421</v>
      </c>
    </row>
    <row r="149" spans="1:1" x14ac:dyDescent="0.3">
      <c r="A149" s="34" t="s">
        <v>307</v>
      </c>
    </row>
    <row r="150" spans="1:1" x14ac:dyDescent="0.3">
      <c r="A150" s="34" t="s">
        <v>308</v>
      </c>
    </row>
    <row r="151" spans="1:1" x14ac:dyDescent="0.3">
      <c r="A151" s="34" t="s">
        <v>534</v>
      </c>
    </row>
    <row r="152" spans="1:1" x14ac:dyDescent="0.3">
      <c r="A152" s="34" t="s">
        <v>252</v>
      </c>
    </row>
    <row r="153" spans="1:1" x14ac:dyDescent="0.3">
      <c r="A153" s="34" t="s">
        <v>422</v>
      </c>
    </row>
    <row r="154" spans="1:1" x14ac:dyDescent="0.3">
      <c r="A154" s="34" t="s">
        <v>527</v>
      </c>
    </row>
    <row r="155" spans="1:1" x14ac:dyDescent="0.3">
      <c r="A155" s="34" t="s">
        <v>423</v>
      </c>
    </row>
    <row r="156" spans="1:1" x14ac:dyDescent="0.3">
      <c r="A156" s="34" t="s">
        <v>424</v>
      </c>
    </row>
    <row r="157" spans="1:1" x14ac:dyDescent="0.3">
      <c r="A157" s="34" t="s">
        <v>425</v>
      </c>
    </row>
    <row r="158" spans="1:1" x14ac:dyDescent="0.3">
      <c r="A158" s="34" t="s">
        <v>426</v>
      </c>
    </row>
    <row r="159" spans="1:1" x14ac:dyDescent="0.3">
      <c r="A159" s="34" t="s">
        <v>427</v>
      </c>
    </row>
    <row r="160" spans="1:1" x14ac:dyDescent="0.3">
      <c r="A160" s="34" t="s">
        <v>428</v>
      </c>
    </row>
    <row r="161" spans="1:1" x14ac:dyDescent="0.3">
      <c r="A161" s="34" t="s">
        <v>429</v>
      </c>
    </row>
    <row r="162" spans="1:1" x14ac:dyDescent="0.3">
      <c r="A162" s="34" t="s">
        <v>257</v>
      </c>
    </row>
    <row r="163" spans="1:1" x14ac:dyDescent="0.3">
      <c r="A163" s="34" t="s">
        <v>430</v>
      </c>
    </row>
    <row r="164" spans="1:1" x14ac:dyDescent="0.3">
      <c r="A164" s="34" t="s">
        <v>309</v>
      </c>
    </row>
    <row r="165" spans="1:1" x14ac:dyDescent="0.3">
      <c r="A165" s="34" t="s">
        <v>310</v>
      </c>
    </row>
    <row r="166" spans="1:1" x14ac:dyDescent="0.3">
      <c r="A166" s="34" t="s">
        <v>431</v>
      </c>
    </row>
    <row r="167" spans="1:1" x14ac:dyDescent="0.3">
      <c r="A167" s="34" t="s">
        <v>432</v>
      </c>
    </row>
    <row r="168" spans="1:1" x14ac:dyDescent="0.3">
      <c r="A168" s="34" t="s">
        <v>311</v>
      </c>
    </row>
    <row r="169" spans="1:1" x14ac:dyDescent="0.3">
      <c r="A169" s="34" t="s">
        <v>312</v>
      </c>
    </row>
    <row r="170" spans="1:1" x14ac:dyDescent="0.3">
      <c r="A170" s="34" t="s">
        <v>523</v>
      </c>
    </row>
    <row r="171" spans="1:1" x14ac:dyDescent="0.3">
      <c r="A171" s="34" t="s">
        <v>313</v>
      </c>
    </row>
    <row r="172" spans="1:1" x14ac:dyDescent="0.3">
      <c r="A172" s="34" t="s">
        <v>433</v>
      </c>
    </row>
    <row r="173" spans="1:1" x14ac:dyDescent="0.3">
      <c r="A173" s="34" t="s">
        <v>434</v>
      </c>
    </row>
    <row r="174" spans="1:1" x14ac:dyDescent="0.3">
      <c r="A174" s="34" t="s">
        <v>435</v>
      </c>
    </row>
    <row r="175" spans="1:1" x14ac:dyDescent="0.3">
      <c r="A175" s="34" t="s">
        <v>314</v>
      </c>
    </row>
    <row r="176" spans="1:1" x14ac:dyDescent="0.3">
      <c r="A176" s="34" t="s">
        <v>436</v>
      </c>
    </row>
    <row r="177" spans="1:1" x14ac:dyDescent="0.3">
      <c r="A177" s="34" t="s">
        <v>536</v>
      </c>
    </row>
    <row r="178" spans="1:1" x14ac:dyDescent="0.3">
      <c r="A178" s="34" t="s">
        <v>437</v>
      </c>
    </row>
    <row r="179" spans="1:1" x14ac:dyDescent="0.3">
      <c r="A179" s="34" t="s">
        <v>315</v>
      </c>
    </row>
    <row r="180" spans="1:1" x14ac:dyDescent="0.3">
      <c r="A180" s="34" t="s">
        <v>316</v>
      </c>
    </row>
    <row r="181" spans="1:1" x14ac:dyDescent="0.3">
      <c r="A181" s="34" t="s">
        <v>438</v>
      </c>
    </row>
    <row r="182" spans="1:1" x14ac:dyDescent="0.3">
      <c r="A182" s="34" t="s">
        <v>317</v>
      </c>
    </row>
    <row r="183" spans="1:1" x14ac:dyDescent="0.3">
      <c r="A183" s="34" t="s">
        <v>318</v>
      </c>
    </row>
    <row r="184" spans="1:1" x14ac:dyDescent="0.3">
      <c r="A184" s="34" t="s">
        <v>439</v>
      </c>
    </row>
    <row r="185" spans="1:1" x14ac:dyDescent="0.3">
      <c r="A185" s="34" t="s">
        <v>524</v>
      </c>
    </row>
    <row r="186" spans="1:1" x14ac:dyDescent="0.3">
      <c r="A186" s="34" t="s">
        <v>440</v>
      </c>
    </row>
    <row r="187" spans="1:1" x14ac:dyDescent="0.3">
      <c r="A187" s="34" t="s">
        <v>441</v>
      </c>
    </row>
    <row r="188" spans="1:1" x14ac:dyDescent="0.3">
      <c r="A188" s="34" t="s">
        <v>442</v>
      </c>
    </row>
    <row r="189" spans="1:1" x14ac:dyDescent="0.3">
      <c r="A189" s="34" t="s">
        <v>319</v>
      </c>
    </row>
    <row r="190" spans="1:1" x14ac:dyDescent="0.3">
      <c r="A190" s="34" t="s">
        <v>320</v>
      </c>
    </row>
    <row r="191" spans="1:1" x14ac:dyDescent="0.3">
      <c r="A191" s="34" t="s">
        <v>443</v>
      </c>
    </row>
    <row r="192" spans="1:1" x14ac:dyDescent="0.3">
      <c r="A192" s="34" t="s">
        <v>444</v>
      </c>
    </row>
    <row r="193" spans="1:1" x14ac:dyDescent="0.3">
      <c r="A193" s="34" t="s">
        <v>321</v>
      </c>
    </row>
    <row r="194" spans="1:1" x14ac:dyDescent="0.3">
      <c r="A194" s="34" t="s">
        <v>445</v>
      </c>
    </row>
    <row r="195" spans="1:1" x14ac:dyDescent="0.3">
      <c r="A195" s="34" t="s">
        <v>322</v>
      </c>
    </row>
    <row r="196" spans="1:1" x14ac:dyDescent="0.3">
      <c r="A196" s="34" t="s">
        <v>323</v>
      </c>
    </row>
    <row r="197" spans="1:1" x14ac:dyDescent="0.3">
      <c r="A197" s="34" t="s">
        <v>537</v>
      </c>
    </row>
    <row r="198" spans="1:1" x14ac:dyDescent="0.3">
      <c r="A198" s="34" t="s">
        <v>242</v>
      </c>
    </row>
    <row r="199" spans="1:1" x14ac:dyDescent="0.3">
      <c r="A199" s="34" t="s">
        <v>324</v>
      </c>
    </row>
    <row r="200" spans="1:1" x14ac:dyDescent="0.3">
      <c r="A200" s="34"/>
    </row>
    <row r="201" spans="1:1" x14ac:dyDescent="0.3">
      <c r="A201" s="34"/>
    </row>
    <row r="202" spans="1:1" x14ac:dyDescent="0.3">
      <c r="A202" s="34"/>
    </row>
    <row r="203" spans="1:1" x14ac:dyDescent="0.3">
      <c r="A203" s="34"/>
    </row>
    <row r="204" spans="1:1" x14ac:dyDescent="0.3">
      <c r="A204" s="34"/>
    </row>
    <row r="205" spans="1:1" x14ac:dyDescent="0.3">
      <c r="A205" s="34"/>
    </row>
  </sheetData>
  <sheetProtection algorithmName="SHA-512" hashValue="S0srp80BLIzfRx89xjHsZLFb4vhHJvq3h76ouMkvbhVmu45iRhP94xUuyempVd5IkgoEEcrOsdvV8hHIbWulQQ==" saltValue="7j/6/eMHx9Np7r0VlAbiAg==" spinCount="100000" sheet="1" selectLockedCells="1"/>
  <sortState ref="A2:A199">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47</vt:i4>
      </vt:variant>
    </vt:vector>
  </HeadingPairs>
  <TitlesOfParts>
    <vt:vector size="58" baseType="lpstr">
      <vt:lpstr>Promotion Board Budget</vt:lpstr>
      <vt:lpstr>Lead PI Station Maint Budget</vt:lpstr>
      <vt:lpstr>Co-PI #1 Station Maint Budget</vt:lpstr>
      <vt:lpstr>Co-PI #2 Station Maint Budget</vt:lpstr>
      <vt:lpstr>Co-PI #3 Station Maint Budget</vt:lpstr>
      <vt:lpstr>Fee Schedule</vt:lpstr>
      <vt:lpstr>Revision History</vt:lpstr>
      <vt:lpstr>Lookup Lists</vt:lpstr>
      <vt:lpstr>PI List</vt:lpstr>
      <vt:lpstr>CES Scientists</vt:lpstr>
      <vt:lpstr>Departments</vt:lpstr>
      <vt:lpstr>Commodity_Board</vt:lpstr>
      <vt:lpstr>'Co-PI #1 Station Maint Budget'!Commodity_Item</vt:lpstr>
      <vt:lpstr>'Co-PI #2 Station Maint Budget'!Commodity_Item</vt:lpstr>
      <vt:lpstr>'Co-PI #3 Station Maint Budget'!Commodity_Item</vt:lpstr>
      <vt:lpstr>Commodity_Item</vt:lpstr>
      <vt:lpstr>Crops</vt:lpstr>
      <vt:lpstr>Dept_Name</vt:lpstr>
      <vt:lpstr>'Co-PI #1 Station Maint Budget'!Expense_Item</vt:lpstr>
      <vt:lpstr>'Co-PI #2 Station Maint Budget'!Expense_Item</vt:lpstr>
      <vt:lpstr>'Co-PI #3 Station Maint Budget'!Expense_Item</vt:lpstr>
      <vt:lpstr>Expense_Item</vt:lpstr>
      <vt:lpstr>'Co-PI #1 Station Maint Budget'!Fee_Schedule</vt:lpstr>
      <vt:lpstr>'Co-PI #2 Station Maint Budget'!Fee_Schedule</vt:lpstr>
      <vt:lpstr>'Co-PI #3 Station Maint Budget'!Fee_Schedule</vt:lpstr>
      <vt:lpstr>Fee_Schedule</vt:lpstr>
      <vt:lpstr>'Co-PI #1 Station Maint Budget'!Fixed_Rate_Commodity</vt:lpstr>
      <vt:lpstr>'Co-PI #2 Station Maint Budget'!Fixed_Rate_Commodity</vt:lpstr>
      <vt:lpstr>'Co-PI #3 Station Maint Budget'!Fixed_Rate_Commodity</vt:lpstr>
      <vt:lpstr>Fixed_Rate_Commodity</vt:lpstr>
      <vt:lpstr>Fixed_Rate_Expense</vt:lpstr>
      <vt:lpstr>'Co-PI #1 Station Maint Budget'!Fixed_Rate_Optional</vt:lpstr>
      <vt:lpstr>'Co-PI #2 Station Maint Budget'!Fixed_Rate_Optional</vt:lpstr>
      <vt:lpstr>'Co-PI #3 Station Maint Budget'!Fixed_Rate_Optional</vt:lpstr>
      <vt:lpstr>Fixed_Rate_Optional</vt:lpstr>
      <vt:lpstr>Greenhouse_Rate</vt:lpstr>
      <vt:lpstr>Growth_Chamber_Rate</vt:lpstr>
      <vt:lpstr>Instructions</vt:lpstr>
      <vt:lpstr>Lead_Project_Investigator</vt:lpstr>
      <vt:lpstr>PI_Name</vt:lpstr>
      <vt:lpstr>Plant_Growth_Facility_Months</vt:lpstr>
      <vt:lpstr>'Co-PI #1 Station Maint Budget'!Print_Area</vt:lpstr>
      <vt:lpstr>'Co-PI #2 Station Maint Budget'!Print_Area</vt:lpstr>
      <vt:lpstr>'Co-PI #3 Station Maint Budget'!Print_Area</vt:lpstr>
      <vt:lpstr>'Lead PI Station Maint Budget'!Print_Area</vt:lpstr>
      <vt:lpstr>'Promotion Board Budget'!Print_Area</vt:lpstr>
      <vt:lpstr>'CES Scientists'!Print_Titles</vt:lpstr>
      <vt:lpstr>'Co-PI #1 Station Maint Budget'!Print_Titles</vt:lpstr>
      <vt:lpstr>'Co-PI #2 Station Maint Budget'!Print_Titles</vt:lpstr>
      <vt:lpstr>'Co-PI #3 Station Maint Budget'!Print_Titles</vt:lpstr>
      <vt:lpstr>Departments!Print_Titles</vt:lpstr>
      <vt:lpstr>'Lead PI Station Maint Budget'!Print_Titles</vt:lpstr>
      <vt:lpstr>'PI List'!Print_Titles</vt:lpstr>
      <vt:lpstr>'Promotion Board Budget'!Print_Titles</vt:lpstr>
      <vt:lpstr>Project_Title</vt:lpstr>
      <vt:lpstr>Quarantine_Rate</vt:lpstr>
      <vt:lpstr>Station_Name</vt:lpstr>
      <vt:lpstr>Stations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 A. Kelley</dc:creator>
  <cp:lastModifiedBy>Dianne Saffire</cp:lastModifiedBy>
  <cp:lastPrinted>2019-07-09T13:59:41Z</cp:lastPrinted>
  <dcterms:created xsi:type="dcterms:W3CDTF">2017-10-16T16:14:07Z</dcterms:created>
  <dcterms:modified xsi:type="dcterms:W3CDTF">2019-10-24T16:44:14Z</dcterms:modified>
</cp:coreProperties>
</file>